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5265" tabRatio="734" activeTab="0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'01施設概要'!$B$1:$R$42</definedName>
    <definedName name="_xlnm.Print_Area" localSheetId="1">'02損益計算'!$B$1:$T$50</definedName>
    <definedName name="_xlnm.Print_Area" localSheetId="2">'03収益費用構成'!$B$1:$S$49</definedName>
    <definedName name="_xlnm.Print_Area" localSheetId="3">'04貸借対照'!$B$1:$S$62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'07繰入金(1)'!$B$1:$U$51</definedName>
    <definedName name="_xlnm.Print_Area" localSheetId="7">'08繰入金(2)'!$B$1:$U$50</definedName>
    <definedName name="Print_Area_MI" localSheetId="0">'01施設概要'!$D$1:$Q$42</definedName>
    <definedName name="Print_Area_MI" localSheetId="1">'02損益計算'!$B$1:$S$49</definedName>
    <definedName name="Print_Area_MI" localSheetId="2">'03収益費用構成'!$B$1:$R$49</definedName>
    <definedName name="Print_Area_MI" localSheetId="3">'04貸借対照'!$B$1:$R$44</definedName>
    <definedName name="Print_Area_MI" localSheetId="4">'05資本的収支'!$B$1:$R$35</definedName>
    <definedName name="Print_Area_MI" localSheetId="6">'07繰入金(1)'!$B$1:$T$51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<sst xmlns="http://schemas.openxmlformats.org/spreadsheetml/2006/main" count="1038" uniqueCount="507">
  <si>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</si>
  <si>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</si>
  <si>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</si>
  <si>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</si>
  <si>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</si>
  <si>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</si>
  <si>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</si>
  <si>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</si>
  <si>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</si>
  <si>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</si>
  <si>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</si>
  <si>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</si>
  <si>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</si>
  <si>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</si>
  <si>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</si>
  <si>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</si>
  <si>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桑名市民病院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</si>
  <si>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</si>
  <si>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</si>
  <si>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</si>
  <si>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</si>
  <si>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</si>
  <si>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</si>
  <si>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</si>
  <si>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</si>
  <si>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</si>
  <si>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</si>
  <si>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</si>
  <si>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</si>
  <si>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</si>
  <si>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</si>
  <si>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</si>
  <si>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</si>
  <si>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</si>
  <si>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</si>
  <si>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</si>
  <si>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</si>
  <si>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</si>
  <si>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</si>
  <si>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</si>
  <si>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</si>
  <si>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</si>
  <si>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</si>
  <si>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</si>
  <si>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</si>
  <si>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</si>
  <si>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</si>
  <si>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</si>
  <si>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</si>
  <si>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</si>
  <si>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</si>
  <si>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</si>
  <si>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</si>
  <si>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</si>
  <si>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</si>
  <si>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</si>
  <si>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</si>
  <si>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</si>
  <si>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</si>
  <si>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</si>
  <si>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</si>
  <si>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</si>
  <si>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</si>
  <si>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</si>
  <si>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</si>
  <si>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</si>
  <si>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</si>
  <si>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</si>
  <si>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</si>
  <si>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</si>
  <si>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</si>
  <si>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</si>
  <si>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</si>
  <si>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</si>
  <si>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</si>
  <si>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</si>
  <si>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</si>
  <si>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</si>
  <si>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</si>
  <si>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</si>
  <si>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</si>
  <si>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</si>
  <si>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</si>
  <si>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</si>
  <si>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</si>
  <si>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</si>
  <si>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</si>
  <si>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</si>
  <si>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</si>
  <si>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</si>
  <si>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</si>
  <si>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</si>
  <si>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</si>
  <si>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</si>
  <si>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</si>
  <si>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</si>
  <si>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</si>
  <si>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</si>
  <si>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</si>
  <si>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</si>
  <si>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</si>
  <si>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</si>
  <si>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</si>
  <si>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</si>
  <si>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</si>
  <si>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</si>
  <si>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</si>
  <si>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</si>
  <si>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</si>
  <si>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</si>
  <si>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</si>
  <si>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</si>
  <si>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</si>
  <si>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</si>
  <si>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</si>
  <si>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</si>
  <si>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</si>
  <si>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</si>
  <si>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</si>
  <si>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</si>
  <si>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</si>
  <si>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</si>
  <si>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</si>
  <si>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</si>
  <si>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</si>
  <si>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</si>
  <si>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</si>
  <si>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</si>
  <si>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</si>
  <si>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</si>
  <si>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</si>
  <si>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</si>
  <si>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</si>
  <si>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</si>
  <si>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</si>
  <si>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</si>
  <si>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</si>
  <si>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</si>
  <si>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</si>
  <si>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</si>
  <si>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</si>
  <si>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</si>
  <si>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</si>
  <si>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</si>
  <si>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</si>
  <si>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</si>
  <si>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</si>
  <si>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</si>
  <si>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</si>
  <si>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</si>
  <si>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</si>
  <si>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</si>
  <si>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</si>
  <si>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</si>
  <si>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</si>
  <si>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</si>
  <si>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</si>
  <si>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</si>
  <si>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</si>
  <si>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</si>
  <si>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</si>
  <si>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</si>
  <si>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</si>
  <si>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</si>
  <si>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</si>
  <si>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</si>
  <si>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</si>
  <si>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</si>
  <si>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</si>
  <si>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</si>
  <si>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</si>
  <si>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</si>
  <si>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</si>
  <si>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</si>
  <si>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</si>
  <si>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</si>
  <si>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</si>
  <si>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</si>
  <si>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</si>
  <si>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</si>
  <si>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</si>
  <si>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</si>
  <si>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</si>
  <si>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</si>
  <si>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</si>
  <si>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</si>
  <si>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</si>
  <si>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</si>
  <si>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</si>
  <si>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</si>
  <si>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</si>
  <si>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</si>
  <si>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</si>
  <si>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</si>
  <si>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</si>
  <si>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</si>
  <si>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</si>
  <si>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</si>
  <si>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</si>
  <si>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</si>
  <si>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</si>
  <si>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</si>
  <si>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</si>
  <si>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</si>
  <si>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</si>
  <si>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</si>
  <si>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</si>
  <si>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</si>
  <si>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</si>
  <si>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</si>
  <si>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</si>
  <si>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</si>
  <si>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</si>
  <si>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</si>
  <si>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</si>
  <si>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</si>
  <si>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</si>
  <si>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</si>
  <si>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</si>
  <si>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</si>
  <si>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</si>
  <si>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</si>
  <si>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</si>
  <si>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</si>
  <si>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</si>
  <si>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</si>
  <si>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</si>
  <si>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</si>
  <si>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</si>
  <si>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</si>
  <si>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</si>
  <si>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</si>
  <si>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</si>
  <si>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</si>
  <si>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</si>
  <si>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</si>
  <si>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-</t>
  </si>
  <si>
    <t xml:space="preserve"> 看護師養成所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</si>
  <si>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</si>
  <si>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</si>
  <si>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</si>
  <si>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</si>
  <si>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</si>
  <si>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</si>
  <si>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</si>
  <si>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</si>
  <si>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</si>
  <si>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</si>
  <si>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</si>
  <si>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</si>
  <si>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</si>
  <si>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</si>
  <si>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</si>
  <si>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</si>
  <si>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</si>
  <si>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</si>
  <si>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</si>
  <si>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</si>
  <si>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</si>
  <si>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</si>
  <si>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</si>
  <si>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</si>
  <si>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</si>
  <si>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</si>
  <si>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</si>
  <si>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</si>
  <si>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</si>
  <si>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</si>
  <si>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</si>
  <si>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</si>
  <si>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</si>
  <si>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</si>
  <si>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</si>
  <si>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</si>
  <si>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</si>
  <si>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</si>
  <si>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</si>
  <si>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</si>
  <si>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</si>
  <si>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</si>
  <si>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</si>
  <si>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</si>
  <si>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</si>
  <si>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</si>
  <si>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</si>
  <si>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</si>
  <si>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</si>
  <si>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</si>
  <si>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</si>
  <si>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</si>
  <si>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</si>
  <si>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</si>
  <si>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</si>
  <si>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</si>
  <si>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</si>
  <si>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</si>
  <si>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</si>
  <si>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</si>
  <si>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</si>
  <si>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</si>
  <si>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</si>
  <si>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</si>
  <si>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</si>
  <si>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</si>
  <si>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</si>
  <si>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</si>
  <si>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</si>
  <si>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</si>
  <si>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</si>
  <si>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</si>
  <si>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</si>
  <si>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</si>
  <si>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</si>
  <si>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</si>
  <si>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</si>
  <si>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</si>
  <si>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</si>
  <si>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</si>
  <si>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</si>
  <si>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</si>
  <si>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</si>
  <si>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</si>
  <si>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</si>
  <si>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</si>
  <si>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</si>
  <si>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</si>
  <si>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</si>
  <si>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</si>
  <si>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</si>
  <si>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</si>
  <si>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</si>
  <si>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</si>
  <si>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</si>
  <si>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</si>
  <si>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</si>
  <si>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</si>
  <si>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</si>
  <si>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</si>
  <si>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</si>
  <si>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</si>
  <si>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</si>
  <si>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</si>
  <si>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</si>
  <si>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</si>
  <si>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</si>
  <si>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</si>
  <si>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</si>
  <si>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</si>
  <si>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</si>
  <si>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</si>
  <si>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</si>
  <si>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</si>
  <si>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</si>
  <si>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</si>
  <si>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</si>
  <si>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</si>
  <si>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</si>
  <si>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</si>
  <si>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</si>
  <si>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</si>
  <si>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</si>
  <si>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</si>
  <si>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</si>
  <si>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t>(５) そ    の    他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</si>
  <si>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</si>
  <si>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</si>
  <si>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</si>
  <si>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</si>
  <si>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</si>
  <si>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</si>
  <si>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</si>
  <si>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</si>
  <si>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</si>
  <si>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</si>
  <si>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</si>
  <si>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</si>
  <si>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</si>
  <si>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</si>
  <si>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</si>
  <si>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</si>
  <si>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</si>
  <si>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</si>
  <si>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</si>
  <si>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</si>
  <si>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</si>
  <si>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</si>
  <si>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</si>
  <si>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</si>
  <si>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</si>
  <si>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</si>
  <si>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</si>
  <si>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</si>
  <si>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</si>
  <si>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</si>
  <si>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</si>
  <si>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</si>
  <si>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</si>
  <si>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</si>
  <si>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</si>
  <si>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</si>
  <si>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</si>
  <si>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</si>
  <si>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</si>
  <si>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</si>
  <si>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</si>
  <si>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</si>
  <si>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</si>
  <si>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</si>
  <si>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</si>
  <si>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</si>
  <si>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</si>
  <si>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</si>
  <si>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自 己 資 本 金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</si>
  <si>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</si>
  <si>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</si>
  <si>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</si>
  <si>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</si>
  <si>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</si>
  <si>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</si>
  <si>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</si>
  <si>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</si>
  <si>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</si>
  <si>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</si>
  <si>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</si>
  <si>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</si>
  <si>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</si>
  <si>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</si>
  <si>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</si>
  <si>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</si>
  <si>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　　　　　　　他会計借入金</t>
  </si>
  <si>
    <t>　一　時　借　入　金</t>
  </si>
  <si>
    <t>　借　入　資　本　金</t>
  </si>
  <si>
    <t>　支　払　利　息</t>
  </si>
  <si>
    <t>　企 業 債 取 扱 諸 費</t>
  </si>
  <si>
    <t>(２) 公立病院特例債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</si>
  <si>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</si>
  <si>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</si>
  <si>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</si>
  <si>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</si>
  <si>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</si>
  <si>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</si>
  <si>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</si>
  <si>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</si>
  <si>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</si>
  <si>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</si>
  <si>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</si>
  <si>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</si>
  <si>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</si>
  <si>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</si>
  <si>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</si>
  <si>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</si>
  <si>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</si>
  <si>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</si>
  <si>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</si>
  <si>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</si>
  <si>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</si>
  <si>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</si>
  <si>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</si>
  <si>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</si>
  <si>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</si>
  <si>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</si>
  <si>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0</t>
    </r>
    <r>
      <rPr>
        <sz val="14"/>
        <rFont val="ＭＳ 明朝"/>
        <family val="1"/>
      </rPr>
      <t>4_37列</t>
    </r>
  </si>
  <si>
    <r>
      <t>0</t>
    </r>
    <r>
      <rPr>
        <sz val="14"/>
        <rFont val="ＭＳ 明朝"/>
        <family val="1"/>
      </rPr>
      <t>4_45列</t>
    </r>
  </si>
  <si>
    <r>
      <t>0</t>
    </r>
    <r>
      <rPr>
        <sz val="14"/>
        <rFont val="ＭＳ 明朝"/>
        <family val="1"/>
      </rPr>
      <t>4_60列</t>
    </r>
  </si>
  <si>
    <r>
      <t>0</t>
    </r>
    <r>
      <rPr>
        <sz val="14"/>
        <rFont val="ＭＳ 明朝"/>
        <family val="1"/>
      </rPr>
      <t>4_61列</t>
    </r>
  </si>
  <si>
    <r>
      <t>0</t>
    </r>
    <r>
      <rPr>
        <sz val="14"/>
        <rFont val="ＭＳ 明朝"/>
        <family val="1"/>
      </rPr>
      <t>4_09列</t>
    </r>
  </si>
  <si>
    <r>
      <t>0</t>
    </r>
    <r>
      <rPr>
        <sz val="14"/>
        <rFont val="ＭＳ 明朝"/>
        <family val="1"/>
      </rPr>
      <t>4_25列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</si>
  <si>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</si>
  <si>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</si>
  <si>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4_17列</t>
    </r>
  </si>
  <si>
    <r>
      <t>0</t>
    </r>
    <r>
      <rPr>
        <sz val="14"/>
        <rFont val="ＭＳ 明朝"/>
        <family val="1"/>
      </rPr>
      <t>4_31列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</si>
  <si>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</si>
  <si>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4_59列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</si>
  <si>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</si>
  <si>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2_24列</t>
    </r>
  </si>
  <si>
    <r>
      <t>0</t>
    </r>
    <r>
      <rPr>
        <sz val="14"/>
        <rFont val="ＭＳ 明朝"/>
        <family val="1"/>
      </rPr>
      <t>2_25列</t>
    </r>
  </si>
  <si>
    <r>
      <t>0</t>
    </r>
    <r>
      <rPr>
        <sz val="14"/>
        <rFont val="ＭＳ 明朝"/>
        <family val="1"/>
      </rPr>
      <t>2_16列</t>
    </r>
  </si>
  <si>
    <r>
      <t>0</t>
    </r>
    <r>
      <rPr>
        <sz val="14"/>
        <rFont val="ＭＳ 明朝"/>
        <family val="1"/>
      </rPr>
      <t>2_30列</t>
    </r>
  </si>
  <si>
    <r>
      <t>0</t>
    </r>
    <r>
      <rPr>
        <sz val="14"/>
        <rFont val="ＭＳ 明朝"/>
        <family val="1"/>
      </rPr>
      <t>4_58列</t>
    </r>
  </si>
  <si>
    <r>
      <t>0</t>
    </r>
    <r>
      <rPr>
        <sz val="14"/>
        <rFont val="ＭＳ 明朝"/>
        <family val="1"/>
      </rPr>
      <t>4_26列+27列</t>
    </r>
  </si>
  <si>
    <r>
      <t>0</t>
    </r>
    <r>
      <rPr>
        <sz val="14"/>
        <rFont val="ＭＳ 明朝"/>
        <family val="1"/>
      </rPr>
      <t>4_28列</t>
    </r>
  </si>
  <si>
    <r>
      <t>0</t>
    </r>
    <r>
      <rPr>
        <sz val="14"/>
        <rFont val="ＭＳ 明朝"/>
        <family val="1"/>
      </rPr>
      <t>4_42列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</si>
  <si>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</si>
  <si>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2_32列</t>
    </r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</si>
  <si>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</si>
  <si>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</si>
  <si>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</si>
  <si>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</si>
  <si>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</si>
  <si>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収益勘定繰入金</t>
  </si>
  <si>
    <t>資本勘定繰入金</t>
  </si>
  <si>
    <r>
      <t>基 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</si>
  <si>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実繰入額</t>
  </si>
  <si>
    <t>桑名市民病院</t>
  </si>
  <si>
    <t>H21.9.30
打切決算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</si>
  <si>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</si>
  <si>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</si>
  <si>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</si>
  <si>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</si>
  <si>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</si>
  <si>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</si>
  <si>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>15：1</t>
  </si>
  <si>
    <t xml:space="preserve"> 医師確保対策経費</t>
  </si>
  <si>
    <t xml:space="preserve"> 公立病院改革</t>
  </si>
  <si>
    <t xml:space="preserve">プラン経費 </t>
  </si>
  <si>
    <t xml:space="preserve">プラン経費 </t>
  </si>
  <si>
    <t>７　病 院 事 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</si>
</sst>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3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466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" xfId="0" applyNumberForma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5" xfId="0" applyNumberFormat="1" applyBorder="1" applyAlignment="1" applyProtection="1">
      <alignment vertical="center"/>
      <protection/>
    </xf>
    <xf numFmtId="185" fontId="0" fillId="0" borderId="6" xfId="0" applyNumberFormat="1" applyBorder="1" applyAlignment="1" applyProtection="1">
      <alignment vertical="center"/>
      <protection/>
    </xf>
    <xf numFmtId="185" fontId="0" fillId="0" borderId="1" xfId="0" applyNumberFormat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vertical="center"/>
      <protection/>
    </xf>
    <xf numFmtId="185" fontId="0" fillId="0" borderId="3" xfId="0" applyNumberFormat="1" applyBorder="1" applyAlignment="1" applyProtection="1">
      <alignment vertical="center"/>
      <protection/>
    </xf>
    <xf numFmtId="185" fontId="0" fillId="0" borderId="7" xfId="0" applyNumberFormat="1" applyBorder="1" applyAlignment="1" applyProtection="1">
      <alignment vertical="center"/>
      <protection/>
    </xf>
    <xf numFmtId="185" fontId="0" fillId="0" borderId="7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3" xfId="0" applyNumberFormat="1" applyBorder="1" applyAlignment="1" applyProtection="1">
      <alignment vertical="center"/>
      <protection/>
    </xf>
    <xf numFmtId="186" fontId="0" fillId="0" borderId="1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6" xfId="0" applyNumberFormat="1" applyBorder="1" applyAlignment="1" applyProtection="1">
      <alignment vertical="center"/>
      <protection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2" xfId="0" applyNumberFormat="1" applyBorder="1" applyAlignment="1" applyProtection="1">
      <alignment vertical="center"/>
      <protection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0" fillId="0" borderId="2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0" fillId="0" borderId="4" xfId="0" applyNumberFormat="1" applyFill="1" applyBorder="1" applyAlignment="1" applyProtection="1">
      <alignment horizontal="center" vertical="center" shrinkToFit="1"/>
      <protection/>
    </xf>
    <xf numFmtId="186" fontId="0" fillId="0" borderId="8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25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18" xfId="0" applyNumberFormat="1" applyBorder="1" applyAlignment="1">
      <alignment horizontal="center" vertical="top"/>
    </xf>
    <xf numFmtId="0" fontId="0" fillId="0" borderId="0" xfId="26" applyFill="1" applyAlignment="1">
      <alignment vertical="center"/>
      <protection/>
    </xf>
    <xf numFmtId="0" fontId="0" fillId="0" borderId="21" xfId="26" applyFill="1" applyBorder="1" applyAlignment="1">
      <alignment vertical="center"/>
      <protection/>
    </xf>
    <xf numFmtId="0" fontId="0" fillId="0" borderId="18" xfId="26" applyFill="1" applyBorder="1" applyAlignment="1">
      <alignment vertical="center"/>
      <protection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 shrinkToFit="1"/>
    </xf>
    <xf numFmtId="0" fontId="0" fillId="0" borderId="20" xfId="26" applyFill="1" applyBorder="1" applyAlignment="1">
      <alignment vertical="center"/>
      <protection/>
    </xf>
    <xf numFmtId="0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shrinkToFit="1"/>
    </xf>
    <xf numFmtId="0" fontId="0" fillId="0" borderId="18" xfId="26" applyFont="1" applyFill="1" applyBorder="1" applyAlignment="1">
      <alignment vertical="center"/>
      <protection/>
    </xf>
    <xf numFmtId="0" fontId="0" fillId="0" borderId="10" xfId="26" applyFill="1" applyBorder="1" applyAlignment="1">
      <alignment vertical="center"/>
      <protection/>
    </xf>
    <xf numFmtId="187" fontId="0" fillId="0" borderId="26" xfId="26" applyNumberFormat="1" applyFill="1" applyBorder="1" applyAlignment="1" applyProtection="1">
      <alignment vertical="center"/>
      <protection/>
    </xf>
    <xf numFmtId="187" fontId="0" fillId="0" borderId="27" xfId="26" applyNumberFormat="1" applyFill="1" applyBorder="1" applyAlignment="1" applyProtection="1">
      <alignment vertical="center"/>
      <protection/>
    </xf>
    <xf numFmtId="187" fontId="0" fillId="0" borderId="2" xfId="26" applyNumberFormat="1" applyFill="1" applyBorder="1" applyAlignment="1" applyProtection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28" xfId="26" applyFill="1" applyBorder="1" applyAlignment="1">
      <alignment vertical="center"/>
      <protection/>
    </xf>
    <xf numFmtId="187" fontId="0" fillId="0" borderId="7" xfId="26" applyNumberFormat="1" applyFill="1" applyBorder="1" applyAlignment="1" applyProtection="1">
      <alignment vertical="center"/>
      <protection/>
    </xf>
    <xf numFmtId="187" fontId="0" fillId="0" borderId="29" xfId="26" applyNumberFormat="1" applyFill="1" applyBorder="1" applyAlignment="1" applyProtection="1">
      <alignment vertical="center"/>
      <protection/>
    </xf>
    <xf numFmtId="187" fontId="0" fillId="0" borderId="6" xfId="26" applyNumberFormat="1" applyFill="1" applyBorder="1" applyAlignment="1" applyProtection="1">
      <alignment vertical="center"/>
      <protection/>
    </xf>
    <xf numFmtId="0" fontId="0" fillId="0" borderId="28" xfId="26" applyFont="1" applyFill="1" applyBorder="1" applyAlignment="1">
      <alignment vertical="center"/>
      <protection/>
    </xf>
    <xf numFmtId="0" fontId="0" fillId="0" borderId="10" xfId="26" applyFont="1" applyFill="1" applyBorder="1" applyAlignment="1">
      <alignment vertical="center"/>
      <protection/>
    </xf>
    <xf numFmtId="187" fontId="0" fillId="0" borderId="30" xfId="26" applyNumberFormat="1" applyFill="1" applyBorder="1" applyAlignment="1" applyProtection="1">
      <alignment vertical="center"/>
      <protection/>
    </xf>
    <xf numFmtId="187" fontId="0" fillId="0" borderId="24" xfId="26" applyNumberFormat="1" applyFill="1" applyBorder="1" applyAlignment="1" applyProtection="1">
      <alignment vertical="center"/>
      <protection/>
    </xf>
    <xf numFmtId="187" fontId="0" fillId="0" borderId="31" xfId="26" applyNumberFormat="1" applyFill="1" applyBorder="1" applyAlignment="1" applyProtection="1">
      <alignment vertical="center"/>
      <protection/>
    </xf>
    <xf numFmtId="0" fontId="0" fillId="0" borderId="1" xfId="26" applyFill="1" applyBorder="1" applyAlignment="1">
      <alignment vertical="center"/>
      <protection/>
    </xf>
    <xf numFmtId="187" fontId="0" fillId="0" borderId="32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 applyProtection="1">
      <alignment vertical="center"/>
      <protection/>
    </xf>
    <xf numFmtId="187" fontId="0" fillId="0" borderId="19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>
      <alignment vertical="center"/>
      <protection/>
    </xf>
    <xf numFmtId="0" fontId="0" fillId="0" borderId="18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Fill="1" applyBorder="1" applyAlignment="1">
      <alignment/>
      <protection/>
    </xf>
    <xf numFmtId="0" fontId="0" fillId="0" borderId="1" xfId="26" applyFont="1" applyFill="1" applyBorder="1" applyAlignment="1">
      <alignment vertical="top"/>
      <protection/>
    </xf>
    <xf numFmtId="0" fontId="0" fillId="0" borderId="10" xfId="26" applyFill="1" applyBorder="1" applyAlignment="1">
      <alignment vertical="top"/>
      <protection/>
    </xf>
    <xf numFmtId="187" fontId="0" fillId="0" borderId="30" xfId="26" applyNumberFormat="1" applyFill="1" applyBorder="1" applyAlignment="1" applyProtection="1">
      <alignment vertical="top"/>
      <protection/>
    </xf>
    <xf numFmtId="187" fontId="0" fillId="0" borderId="24" xfId="26" applyNumberFormat="1" applyFill="1" applyBorder="1" applyAlignment="1" applyProtection="1">
      <alignment vertical="top"/>
      <protection/>
    </xf>
    <xf numFmtId="187" fontId="0" fillId="0" borderId="34" xfId="26" applyNumberFormat="1" applyFill="1" applyBorder="1" applyAlignment="1" applyProtection="1">
      <alignment vertical="top"/>
      <protection/>
    </xf>
    <xf numFmtId="0" fontId="0" fillId="0" borderId="20" xfId="26" applyFill="1" applyBorder="1" applyAlignment="1">
      <alignment vertical="top"/>
      <protection/>
    </xf>
    <xf numFmtId="0" fontId="0" fillId="0" borderId="21" xfId="26" applyFill="1" applyBorder="1" applyAlignment="1">
      <alignment vertical="top"/>
      <protection/>
    </xf>
    <xf numFmtId="187" fontId="0" fillId="0" borderId="35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>
      <alignment vertical="top"/>
      <protection/>
    </xf>
    <xf numFmtId="187" fontId="0" fillId="0" borderId="37" xfId="26" applyNumberFormat="1" applyFill="1" applyBorder="1" applyAlignment="1" applyProtection="1">
      <alignment vertical="top"/>
      <protection/>
    </xf>
    <xf numFmtId="0" fontId="8" fillId="0" borderId="0" xfId="26" applyFont="1" applyFill="1" applyAlignment="1">
      <alignment vertical="center"/>
      <protection/>
    </xf>
    <xf numFmtId="0" fontId="0" fillId="0" borderId="21" xfId="26" applyFill="1" applyBorder="1" applyAlignment="1">
      <alignment horizontal="right"/>
      <protection/>
    </xf>
    <xf numFmtId="0" fontId="0" fillId="0" borderId="20" xfId="0" applyNumberFormat="1" applyFill="1" applyBorder="1" applyAlignment="1">
      <alignment vertical="center" shrinkToFit="1"/>
    </xf>
    <xf numFmtId="0" fontId="0" fillId="0" borderId="0" xfId="25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0" fillId="0" borderId="21" xfId="25" applyFill="1" applyBorder="1" applyAlignment="1">
      <alignment vertical="center"/>
      <protection/>
    </xf>
    <xf numFmtId="0" fontId="0" fillId="0" borderId="21" xfId="25" applyFill="1" applyBorder="1" applyAlignment="1">
      <alignment horizontal="right"/>
      <protection/>
    </xf>
    <xf numFmtId="0" fontId="0" fillId="0" borderId="18" xfId="25" applyFill="1" applyBorder="1" applyAlignment="1">
      <alignment vertical="center"/>
      <protection/>
    </xf>
    <xf numFmtId="0" fontId="0" fillId="0" borderId="20" xfId="25" applyFill="1" applyBorder="1" applyAlignment="1">
      <alignment vertical="center"/>
      <protection/>
    </xf>
    <xf numFmtId="0" fontId="0" fillId="0" borderId="18" xfId="25" applyFill="1" applyBorder="1" applyAlignment="1">
      <alignment horizontal="center" vertical="center"/>
      <protection/>
    </xf>
    <xf numFmtId="0" fontId="0" fillId="0" borderId="6" xfId="25" applyFill="1" applyBorder="1" applyAlignment="1">
      <alignment vertical="center"/>
      <protection/>
    </xf>
    <xf numFmtId="0" fontId="0" fillId="0" borderId="28" xfId="25" applyFill="1" applyBorder="1" applyAlignment="1">
      <alignment vertical="center"/>
      <protection/>
    </xf>
    <xf numFmtId="187" fontId="0" fillId="0" borderId="38" xfId="25" applyNumberFormat="1" applyFill="1" applyBorder="1" applyAlignment="1" applyProtection="1">
      <alignment vertical="center"/>
      <protection/>
    </xf>
    <xf numFmtId="187" fontId="0" fillId="0" borderId="39" xfId="25" applyNumberFormat="1" applyFill="1" applyBorder="1" applyAlignment="1" applyProtection="1">
      <alignment vertical="center"/>
      <protection/>
    </xf>
    <xf numFmtId="187" fontId="0" fillId="0" borderId="6" xfId="25" applyNumberFormat="1" applyFill="1" applyBorder="1" applyAlignment="1" applyProtection="1">
      <alignment vertical="center"/>
      <protection/>
    </xf>
    <xf numFmtId="187" fontId="0" fillId="0" borderId="5" xfId="25" applyNumberFormat="1" applyFill="1" applyBorder="1" applyAlignment="1" applyProtection="1">
      <alignment vertical="center"/>
      <protection/>
    </xf>
    <xf numFmtId="187" fontId="0" fillId="0" borderId="29" xfId="25" applyNumberFormat="1" applyFill="1" applyBorder="1" applyAlignment="1" applyProtection="1">
      <alignment vertical="center"/>
      <protection/>
    </xf>
    <xf numFmtId="0" fontId="0" fillId="0" borderId="1" xfId="25" applyFill="1" applyBorder="1" applyAlignment="1">
      <alignment horizontal="center" vertical="center"/>
      <protection/>
    </xf>
    <xf numFmtId="0" fontId="0" fillId="0" borderId="2" xfId="25" applyFill="1" applyBorder="1" applyAlignment="1">
      <alignment vertical="center"/>
      <protection/>
    </xf>
    <xf numFmtId="0" fontId="0" fillId="0" borderId="10" xfId="25" applyFill="1" applyBorder="1" applyAlignment="1">
      <alignment vertical="center"/>
      <protection/>
    </xf>
    <xf numFmtId="187" fontId="0" fillId="0" borderId="1" xfId="25" applyNumberFormat="1" applyFill="1" applyBorder="1" applyAlignment="1" applyProtection="1">
      <alignment vertical="center"/>
      <protection/>
    </xf>
    <xf numFmtId="187" fontId="0" fillId="0" borderId="24" xfId="25" applyNumberFormat="1" applyFill="1" applyBorder="1" applyAlignment="1" applyProtection="1">
      <alignment vertical="center"/>
      <protection/>
    </xf>
    <xf numFmtId="187" fontId="0" fillId="0" borderId="2" xfId="25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" xfId="25" applyFill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19" xfId="25" applyFill="1" applyBorder="1" applyAlignment="1">
      <alignment horizontal="center" vertical="center"/>
      <protection/>
    </xf>
    <xf numFmtId="0" fontId="0" fillId="0" borderId="19" xfId="25" applyFont="1" applyFill="1" applyBorder="1" applyAlignment="1">
      <alignment horizontal="distributed" vertical="center"/>
      <protection/>
    </xf>
    <xf numFmtId="0" fontId="0" fillId="0" borderId="18" xfId="25" applyFill="1" applyBorder="1" applyAlignment="1">
      <alignment horizontal="distributed" vertical="center"/>
      <protection/>
    </xf>
    <xf numFmtId="0" fontId="0" fillId="0" borderId="6" xfId="25" applyFont="1" applyFill="1" applyBorder="1" applyAlignment="1">
      <alignment vertical="center"/>
      <protection/>
    </xf>
    <xf numFmtId="0" fontId="0" fillId="0" borderId="18" xfId="25" applyFont="1" applyFill="1" applyBorder="1" applyAlignment="1">
      <alignment horizontal="right" vertical="center"/>
      <protection/>
    </xf>
    <xf numFmtId="0" fontId="0" fillId="0" borderId="1" xfId="25" applyFont="1" applyFill="1" applyBorder="1" applyAlignment="1">
      <alignment horizontal="right" vertical="center"/>
      <protection/>
    </xf>
    <xf numFmtId="0" fontId="0" fillId="0" borderId="19" xfId="25" applyFill="1" applyBorder="1" applyAlignment="1">
      <alignment vertical="center"/>
      <protection/>
    </xf>
    <xf numFmtId="187" fontId="0" fillId="0" borderId="18" xfId="25" applyNumberFormat="1" applyFill="1" applyBorder="1" applyAlignment="1" applyProtection="1">
      <alignment vertical="center"/>
      <protection/>
    </xf>
    <xf numFmtId="187" fontId="0" fillId="0" borderId="33" xfId="25" applyNumberFormat="1" applyFill="1" applyBorder="1" applyAlignment="1" applyProtection="1">
      <alignment vertical="center"/>
      <protection/>
    </xf>
    <xf numFmtId="187" fontId="0" fillId="0" borderId="19" xfId="25" applyNumberFormat="1" applyFill="1" applyBorder="1" applyAlignment="1" applyProtection="1">
      <alignment vertical="center"/>
      <protection/>
    </xf>
    <xf numFmtId="0" fontId="0" fillId="0" borderId="24" xfId="25" applyFill="1" applyBorder="1" applyAlignment="1">
      <alignment vertical="center"/>
      <protection/>
    </xf>
    <xf numFmtId="0" fontId="0" fillId="0" borderId="40" xfId="25" applyFont="1" applyFill="1" applyBorder="1" applyAlignment="1">
      <alignment horizontal="center" vertical="center"/>
      <protection/>
    </xf>
    <xf numFmtId="187" fontId="0" fillId="0" borderId="41" xfId="25" applyNumberFormat="1" applyFill="1" applyBorder="1" applyAlignment="1" applyProtection="1">
      <alignment vertical="center"/>
      <protection/>
    </xf>
    <xf numFmtId="187" fontId="0" fillId="0" borderId="42" xfId="25" applyNumberFormat="1" applyFill="1" applyBorder="1" applyAlignment="1" applyProtection="1">
      <alignment vertical="center"/>
      <protection/>
    </xf>
    <xf numFmtId="187" fontId="0" fillId="0" borderId="43" xfId="25" applyNumberFormat="1" applyFill="1" applyBorder="1" applyAlignment="1" applyProtection="1">
      <alignment vertical="center"/>
      <protection/>
    </xf>
    <xf numFmtId="0" fontId="0" fillId="0" borderId="36" xfId="25" applyFill="1" applyBorder="1" applyAlignment="1">
      <alignment vertical="center"/>
      <protection/>
    </xf>
    <xf numFmtId="0" fontId="0" fillId="0" borderId="44" xfId="25" applyFont="1" applyFill="1" applyBorder="1" applyAlignment="1">
      <alignment horizontal="center" vertical="center"/>
      <protection/>
    </xf>
    <xf numFmtId="187" fontId="0" fillId="0" borderId="45" xfId="25" applyNumberFormat="1" applyFill="1" applyBorder="1" applyAlignment="1" applyProtection="1">
      <alignment vertical="center"/>
      <protection/>
    </xf>
    <xf numFmtId="187" fontId="0" fillId="0" borderId="46" xfId="25" applyNumberFormat="1" applyFill="1" applyBorder="1" applyAlignment="1" applyProtection="1">
      <alignment vertical="center"/>
      <protection/>
    </xf>
    <xf numFmtId="187" fontId="0" fillId="0" borderId="47" xfId="25" applyNumberFormat="1" applyFill="1" applyBorder="1" applyAlignment="1" applyProtection="1">
      <alignment vertical="center"/>
      <protection/>
    </xf>
    <xf numFmtId="0" fontId="0" fillId="0" borderId="18" xfId="27" applyFont="1" applyFill="1" applyBorder="1" applyAlignment="1">
      <alignment vertical="center"/>
      <protection/>
    </xf>
    <xf numFmtId="0" fontId="0" fillId="0" borderId="10" xfId="27" applyFill="1" applyBorder="1" applyAlignment="1">
      <alignment vertical="center"/>
      <protection/>
    </xf>
    <xf numFmtId="0" fontId="0" fillId="0" borderId="18" xfId="27" applyFill="1" applyBorder="1" applyAlignment="1">
      <alignment vertical="center"/>
      <protection/>
    </xf>
    <xf numFmtId="0" fontId="0" fillId="0" borderId="0" xfId="27" applyFill="1" applyAlignment="1">
      <alignment vertical="center"/>
      <protection/>
    </xf>
    <xf numFmtId="0" fontId="8" fillId="0" borderId="0" xfId="27" applyFont="1" applyFill="1" applyAlignment="1">
      <alignment vertical="center"/>
      <protection/>
    </xf>
    <xf numFmtId="0" fontId="0" fillId="0" borderId="21" xfId="27" applyFill="1" applyBorder="1" applyAlignment="1">
      <alignment vertical="center"/>
      <protection/>
    </xf>
    <xf numFmtId="0" fontId="0" fillId="0" borderId="21" xfId="27" applyFill="1" applyBorder="1" applyAlignment="1">
      <alignment horizontal="right"/>
      <protection/>
    </xf>
    <xf numFmtId="0" fontId="0" fillId="0" borderId="19" xfId="27" applyFill="1" applyBorder="1" applyAlignment="1">
      <alignment vertical="center"/>
      <protection/>
    </xf>
    <xf numFmtId="0" fontId="0" fillId="0" borderId="19" xfId="27" applyFill="1" applyBorder="1" applyAlignment="1">
      <alignment horizontal="center" vertical="center"/>
      <protection/>
    </xf>
    <xf numFmtId="0" fontId="0" fillId="0" borderId="20" xfId="27" applyFill="1" applyBorder="1" applyAlignment="1">
      <alignment vertical="center"/>
      <protection/>
    </xf>
    <xf numFmtId="0" fontId="0" fillId="0" borderId="13" xfId="27" applyFill="1" applyBorder="1" applyAlignment="1">
      <alignment vertical="center"/>
      <protection/>
    </xf>
    <xf numFmtId="187" fontId="0" fillId="0" borderId="1" xfId="27" applyNumberFormat="1" applyFill="1" applyBorder="1" applyAlignment="1" applyProtection="1">
      <alignment vertical="center"/>
      <protection/>
    </xf>
    <xf numFmtId="187" fontId="0" fillId="0" borderId="2" xfId="27" applyNumberFormat="1" applyFill="1" applyBorder="1" applyAlignment="1" applyProtection="1">
      <alignment vertical="center"/>
      <protection/>
    </xf>
    <xf numFmtId="187" fontId="0" fillId="0" borderId="48" xfId="27" applyNumberFormat="1" applyFill="1" applyBorder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28" xfId="27" applyFill="1" applyBorder="1" applyAlignment="1">
      <alignment vertical="center"/>
      <protection/>
    </xf>
    <xf numFmtId="187" fontId="0" fillId="0" borderId="14" xfId="27" applyNumberFormat="1" applyFill="1" applyBorder="1" applyAlignment="1" applyProtection="1">
      <alignment vertical="center"/>
      <protection/>
    </xf>
    <xf numFmtId="187" fontId="0" fillId="0" borderId="49" xfId="27" applyNumberFormat="1" applyFill="1" applyBorder="1" applyAlignment="1" applyProtection="1">
      <alignment vertical="center"/>
      <protection/>
    </xf>
    <xf numFmtId="187" fontId="0" fillId="0" borderId="50" xfId="27" applyNumberFormat="1" applyFill="1" applyBorder="1" applyAlignment="1" applyProtection="1">
      <alignment vertical="center"/>
      <protection/>
    </xf>
    <xf numFmtId="187" fontId="0" fillId="0" borderId="16" xfId="27" applyNumberFormat="1" applyFill="1" applyBorder="1" applyAlignment="1" applyProtection="1">
      <alignment vertical="center"/>
      <protection/>
    </xf>
    <xf numFmtId="187" fontId="0" fillId="0" borderId="51" xfId="27" applyNumberFormat="1" applyFill="1" applyBorder="1" applyAlignment="1" applyProtection="1">
      <alignment vertical="center"/>
      <protection/>
    </xf>
    <xf numFmtId="187" fontId="0" fillId="0" borderId="25" xfId="27" applyNumberFormat="1" applyFill="1" applyBorder="1" applyAlignment="1" applyProtection="1">
      <alignment vertical="center"/>
      <protection/>
    </xf>
    <xf numFmtId="0" fontId="0" fillId="0" borderId="10" xfId="27" applyFont="1" applyFill="1" applyBorder="1" applyAlignment="1">
      <alignment vertical="center"/>
      <protection/>
    </xf>
    <xf numFmtId="187" fontId="0" fillId="0" borderId="41" xfId="27" applyNumberFormat="1" applyFill="1" applyBorder="1" applyAlignment="1" applyProtection="1">
      <alignment vertical="center"/>
      <protection/>
    </xf>
    <xf numFmtId="187" fontId="0" fillId="0" borderId="40" xfId="27" applyNumberFormat="1" applyFill="1" applyBorder="1" applyAlignment="1" applyProtection="1">
      <alignment vertical="center"/>
      <protection/>
    </xf>
    <xf numFmtId="187" fontId="0" fillId="0" borderId="43" xfId="27" applyNumberFormat="1" applyFill="1" applyBorder="1" applyAlignment="1" applyProtection="1">
      <alignment vertical="center"/>
      <protection/>
    </xf>
    <xf numFmtId="0" fontId="0" fillId="0" borderId="1" xfId="27" applyFill="1" applyBorder="1" applyAlignment="1">
      <alignment vertical="center"/>
      <protection/>
    </xf>
    <xf numFmtId="187" fontId="0" fillId="0" borderId="52" xfId="27" applyNumberFormat="1" applyFill="1" applyBorder="1" applyAlignment="1" applyProtection="1">
      <alignment vertical="center"/>
      <protection/>
    </xf>
    <xf numFmtId="0" fontId="0" fillId="0" borderId="1" xfId="27" applyFont="1" applyFill="1" applyBorder="1" applyAlignment="1">
      <alignment vertical="center"/>
      <protection/>
    </xf>
    <xf numFmtId="187" fontId="0" fillId="0" borderId="5" xfId="27" applyNumberFormat="1" applyFill="1" applyBorder="1" applyAlignment="1" applyProtection="1">
      <alignment vertical="center"/>
      <protection/>
    </xf>
    <xf numFmtId="187" fontId="0" fillId="0" borderId="6" xfId="27" applyNumberFormat="1" applyFill="1" applyBorder="1" applyAlignment="1" applyProtection="1">
      <alignment vertical="center"/>
      <protection/>
    </xf>
    <xf numFmtId="0" fontId="0" fillId="0" borderId="28" xfId="27" applyFont="1" applyFill="1" applyBorder="1" applyAlignment="1">
      <alignment vertical="center"/>
      <protection/>
    </xf>
    <xf numFmtId="187" fontId="0" fillId="0" borderId="20" xfId="27" applyNumberFormat="1" applyFill="1" applyBorder="1" applyAlignment="1" applyProtection="1">
      <alignment vertical="center"/>
      <protection/>
    </xf>
    <xf numFmtId="187" fontId="0" fillId="0" borderId="13" xfId="27" applyNumberFormat="1" applyFill="1" applyBorder="1" applyAlignment="1" applyProtection="1">
      <alignment vertical="center"/>
      <protection/>
    </xf>
    <xf numFmtId="187" fontId="0" fillId="0" borderId="53" xfId="27" applyNumberFormat="1" applyFill="1" applyBorder="1" applyAlignment="1" applyProtection="1">
      <alignment vertical="center"/>
      <protection/>
    </xf>
    <xf numFmtId="0" fontId="8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21" xfId="23" applyBorder="1" applyAlignment="1">
      <alignment vertical="center"/>
      <protection/>
    </xf>
    <xf numFmtId="0" fontId="0" fillId="0" borderId="18" xfId="23" applyBorder="1" applyAlignment="1">
      <alignment vertical="center"/>
      <protection/>
    </xf>
    <xf numFmtId="0" fontId="0" fillId="0" borderId="20" xfId="23" applyBorder="1" applyAlignment="1">
      <alignment vertical="center"/>
      <protection/>
    </xf>
    <xf numFmtId="0" fontId="0" fillId="0" borderId="54" xfId="23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10" xfId="23" applyBorder="1" applyAlignment="1">
      <alignment vertical="center"/>
      <protection/>
    </xf>
    <xf numFmtId="180" fontId="0" fillId="0" borderId="1" xfId="23" applyNumberFormat="1" applyBorder="1" applyAlignment="1" applyProtection="1">
      <alignment vertical="center"/>
      <protection/>
    </xf>
    <xf numFmtId="180" fontId="0" fillId="0" borderId="2" xfId="23" applyNumberFormat="1" applyBorder="1" applyAlignment="1" applyProtection="1">
      <alignment vertical="center"/>
      <protection/>
    </xf>
    <xf numFmtId="3" fontId="0" fillId="0" borderId="0" xfId="23" applyNumberFormat="1" applyAlignment="1">
      <alignment vertical="center"/>
      <protection/>
    </xf>
    <xf numFmtId="37" fontId="0" fillId="0" borderId="1" xfId="23" applyNumberFormat="1" applyBorder="1" applyAlignment="1" applyProtection="1">
      <alignment vertical="center"/>
      <protection/>
    </xf>
    <xf numFmtId="37" fontId="0" fillId="0" borderId="2" xfId="23" applyNumberFormat="1" applyBorder="1" applyAlignment="1" applyProtection="1">
      <alignment vertical="center"/>
      <protection/>
    </xf>
    <xf numFmtId="0" fontId="0" fillId="0" borderId="18" xfId="23" applyFont="1" applyBorder="1" applyAlignment="1">
      <alignment vertical="center"/>
      <protection/>
    </xf>
    <xf numFmtId="37" fontId="0" fillId="0" borderId="1" xfId="23" applyNumberFormat="1" applyFon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horizontal="right" vertical="center"/>
      <protection/>
    </xf>
    <xf numFmtId="0" fontId="0" fillId="0" borderId="6" xfId="23" applyFont="1" applyBorder="1" applyAlignment="1">
      <alignment vertical="center"/>
      <protection/>
    </xf>
    <xf numFmtId="37" fontId="0" fillId="0" borderId="5" xfId="23" applyNumberFormat="1" applyBorder="1" applyAlignment="1" applyProtection="1">
      <alignment vertical="center"/>
      <protection/>
    </xf>
    <xf numFmtId="37" fontId="0" fillId="0" borderId="6" xfId="23" applyNumberFormat="1" applyBorder="1" applyAlignment="1" applyProtection="1">
      <alignment vertical="center"/>
      <protection/>
    </xf>
    <xf numFmtId="0" fontId="0" fillId="0" borderId="1" xfId="23" applyBorder="1" applyAlignment="1">
      <alignment vertical="center"/>
      <protection/>
    </xf>
    <xf numFmtId="0" fontId="0" fillId="0" borderId="2" xfId="23" applyFont="1" applyBorder="1" applyAlignment="1">
      <alignment vertical="center"/>
      <protection/>
    </xf>
    <xf numFmtId="0" fontId="0" fillId="0" borderId="6" xfId="23" applyBorder="1" applyAlignment="1">
      <alignment vertical="center"/>
      <protection/>
    </xf>
    <xf numFmtId="3" fontId="0" fillId="0" borderId="50" xfId="23" applyNumberFormat="1" applyBorder="1" applyAlignment="1" applyProtection="1">
      <alignment horizontal="right" vertical="center"/>
      <protection/>
    </xf>
    <xf numFmtId="0" fontId="0" fillId="0" borderId="2" xfId="23" applyBorder="1" applyAlignment="1">
      <alignment vertical="center"/>
      <protection/>
    </xf>
    <xf numFmtId="180" fontId="0" fillId="0" borderId="5" xfId="23" applyNumberFormat="1" applyBorder="1" applyAlignment="1" applyProtection="1">
      <alignment vertical="center"/>
      <protection/>
    </xf>
    <xf numFmtId="180" fontId="0" fillId="0" borderId="6" xfId="23" applyNumberFormat="1" applyBorder="1" applyAlignment="1" applyProtection="1">
      <alignment vertical="center"/>
      <protection/>
    </xf>
    <xf numFmtId="180" fontId="0" fillId="0" borderId="19" xfId="23" applyNumberFormat="1" applyBorder="1" applyAlignment="1" applyProtection="1">
      <alignment vertical="center"/>
      <protection/>
    </xf>
    <xf numFmtId="180" fontId="0" fillId="0" borderId="25" xfId="23" applyNumberFormat="1" applyBorder="1" applyAlignment="1" applyProtection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180" fontId="0" fillId="0" borderId="18" xfId="23" applyNumberForma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vertical="center"/>
      <protection/>
    </xf>
    <xf numFmtId="0" fontId="0" fillId="0" borderId="1" xfId="23" applyFont="1" applyFill="1" applyBorder="1" applyAlignment="1">
      <alignment vertical="center"/>
      <protection/>
    </xf>
    <xf numFmtId="0" fontId="0" fillId="0" borderId="10" xfId="23" applyFill="1" applyBorder="1" applyAlignment="1">
      <alignment vertical="center"/>
      <protection/>
    </xf>
    <xf numFmtId="180" fontId="0" fillId="0" borderId="1" xfId="23" applyNumberFormat="1" applyFill="1" applyBorder="1" applyAlignment="1" applyProtection="1">
      <alignment vertical="center"/>
      <protection/>
    </xf>
    <xf numFmtId="180" fontId="0" fillId="0" borderId="2" xfId="23" applyNumberFormat="1" applyFill="1" applyBorder="1" applyAlignment="1" applyProtection="1">
      <alignment vertical="center"/>
      <protection/>
    </xf>
    <xf numFmtId="0" fontId="0" fillId="0" borderId="18" xfId="23" applyFill="1" applyBorder="1" applyAlignment="1">
      <alignment vertical="center"/>
      <protection/>
    </xf>
    <xf numFmtId="0" fontId="0" fillId="0" borderId="0" xfId="23" applyFill="1" applyAlignment="1">
      <alignment vertical="center"/>
      <protection/>
    </xf>
    <xf numFmtId="3" fontId="0" fillId="0" borderId="0" xfId="23" applyNumberFormat="1" applyFill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180" fontId="0" fillId="0" borderId="1" xfId="23" applyNumberFormat="1" applyFont="1" applyFill="1" applyBorder="1" applyAlignment="1" applyProtection="1">
      <alignment vertical="center"/>
      <protection/>
    </xf>
    <xf numFmtId="180" fontId="0" fillId="0" borderId="2" xfId="23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Fill="1" applyBorder="1" applyAlignment="1" applyProtection="1">
      <alignment vertical="center"/>
      <protection/>
    </xf>
    <xf numFmtId="176" fontId="0" fillId="0" borderId="2" xfId="23" applyNumberFormat="1" applyFill="1" applyBorder="1" applyAlignment="1" applyProtection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0" fillId="0" borderId="55" xfId="23" applyFont="1" applyFill="1" applyBorder="1" applyAlignment="1" quotePrefix="1">
      <alignment horizontal="left" vertical="center"/>
      <protection/>
    </xf>
    <xf numFmtId="176" fontId="0" fillId="0" borderId="55" xfId="0" applyFont="1" applyFill="1" applyBorder="1" applyAlignment="1">
      <alignment vertical="center"/>
    </xf>
    <xf numFmtId="176" fontId="0" fillId="0" borderId="55" xfId="0" applyFont="1" applyFill="1" applyBorder="1" applyAlignment="1" quotePrefix="1">
      <alignment horizontal="left" vertical="center"/>
    </xf>
    <xf numFmtId="176" fontId="0" fillId="0" borderId="0" xfId="0" applyFont="1" applyFill="1" applyAlignment="1">
      <alignment vertical="center"/>
    </xf>
    <xf numFmtId="0" fontId="0" fillId="0" borderId="55" xfId="25" applyFont="1" applyFill="1" applyBorder="1" applyAlignment="1" quotePrefix="1">
      <alignment horizontal="left" vertical="center"/>
      <protection/>
    </xf>
    <xf numFmtId="0" fontId="0" fillId="0" borderId="56" xfId="25" applyFont="1" applyFill="1" applyBorder="1" applyAlignment="1" quotePrefix="1">
      <alignment horizontal="left" vertical="center"/>
      <protection/>
    </xf>
    <xf numFmtId="0" fontId="0" fillId="0" borderId="57" xfId="25" applyFont="1" applyFill="1" applyBorder="1" applyAlignment="1" quotePrefix="1">
      <alignment horizontal="left" vertical="center"/>
      <protection/>
    </xf>
    <xf numFmtId="0" fontId="0" fillId="0" borderId="58" xfId="25" applyFont="1" applyFill="1" applyBorder="1" applyAlignment="1" quotePrefix="1">
      <alignment horizontal="left" vertical="center"/>
      <protection/>
    </xf>
    <xf numFmtId="0" fontId="0" fillId="0" borderId="55" xfId="27" applyFont="1" applyFill="1" applyBorder="1" applyAlignment="1">
      <alignment vertical="center"/>
      <protection/>
    </xf>
    <xf numFmtId="0" fontId="0" fillId="0" borderId="59" xfId="27" applyFont="1" applyFill="1" applyBorder="1" applyAlignment="1">
      <alignment vertical="center"/>
      <protection/>
    </xf>
    <xf numFmtId="0" fontId="0" fillId="0" borderId="55" xfId="27" applyFont="1" applyFill="1" applyBorder="1" applyAlignment="1" quotePrefix="1">
      <alignment horizontal="left" vertical="center"/>
      <protection/>
    </xf>
    <xf numFmtId="0" fontId="0" fillId="0" borderId="57" xfId="27" applyFont="1" applyFill="1" applyBorder="1" applyAlignment="1" quotePrefix="1">
      <alignment horizontal="left" vertical="center"/>
      <protection/>
    </xf>
    <xf numFmtId="0" fontId="8" fillId="0" borderId="0" xfId="24" applyFont="1" applyFill="1" applyAlignment="1">
      <alignment vertical="center"/>
      <protection/>
    </xf>
    <xf numFmtId="0" fontId="0" fillId="0" borderId="0" xfId="24" applyFill="1" applyAlignment="1">
      <alignment vertical="center"/>
      <protection/>
    </xf>
    <xf numFmtId="0" fontId="0" fillId="0" borderId="21" xfId="24" applyFill="1" applyBorder="1" applyAlignment="1">
      <alignment vertical="center"/>
      <protection/>
    </xf>
    <xf numFmtId="0" fontId="0" fillId="0" borderId="21" xfId="24" applyFill="1" applyBorder="1" applyAlignment="1">
      <alignment horizontal="right"/>
      <protection/>
    </xf>
    <xf numFmtId="0" fontId="0" fillId="0" borderId="18" xfId="24" applyFill="1" applyBorder="1" applyAlignment="1">
      <alignment vertical="center"/>
      <protection/>
    </xf>
    <xf numFmtId="0" fontId="0" fillId="0" borderId="20" xfId="24" applyFill="1" applyBorder="1" applyAlignment="1">
      <alignment vertical="center"/>
      <protection/>
    </xf>
    <xf numFmtId="0" fontId="0" fillId="0" borderId="54" xfId="24" applyFill="1" applyBorder="1" applyAlignment="1">
      <alignment vertical="center"/>
      <protection/>
    </xf>
    <xf numFmtId="0" fontId="0" fillId="0" borderId="6" xfId="24" applyFont="1" applyFill="1" applyBorder="1" applyAlignment="1">
      <alignment vertical="center"/>
      <protection/>
    </xf>
    <xf numFmtId="0" fontId="0" fillId="0" borderId="28" xfId="24" applyFill="1" applyBorder="1" applyAlignment="1">
      <alignment vertical="center"/>
      <protection/>
    </xf>
    <xf numFmtId="187" fontId="0" fillId="0" borderId="5" xfId="24" applyNumberFormat="1" applyFill="1" applyBorder="1" applyAlignment="1" applyProtection="1">
      <alignment vertical="center"/>
      <protection/>
    </xf>
    <xf numFmtId="187" fontId="0" fillId="0" borderId="6" xfId="24" applyNumberFormat="1" applyFill="1" applyBorder="1" applyAlignment="1" applyProtection="1">
      <alignment vertical="center"/>
      <protection/>
    </xf>
    <xf numFmtId="0" fontId="0" fillId="0" borderId="18" xfId="24" applyFill="1" applyBorder="1" applyAlignment="1">
      <alignment horizontal="center" vertical="center"/>
      <protection/>
    </xf>
    <xf numFmtId="0" fontId="0" fillId="0" borderId="6" xfId="24" applyFill="1" applyBorder="1" applyAlignment="1">
      <alignment vertical="center"/>
      <protection/>
    </xf>
    <xf numFmtId="0" fontId="0" fillId="0" borderId="30" xfId="24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0" fillId="0" borderId="10" xfId="24" applyFill="1" applyBorder="1" applyAlignment="1">
      <alignment horizontal="centerContinuous" vertical="center"/>
      <protection/>
    </xf>
    <xf numFmtId="187" fontId="0" fillId="0" borderId="1" xfId="24" applyNumberFormat="1" applyFill="1" applyBorder="1" applyAlignment="1" applyProtection="1">
      <alignment vertical="center"/>
      <protection/>
    </xf>
    <xf numFmtId="187" fontId="0" fillId="0" borderId="2" xfId="24" applyNumberFormat="1" applyFill="1" applyBorder="1" applyAlignment="1" applyProtection="1">
      <alignment vertical="center"/>
      <protection/>
    </xf>
    <xf numFmtId="0" fontId="0" fillId="0" borderId="19" xfId="24" applyFont="1" applyFill="1" applyBorder="1" applyAlignment="1">
      <alignment vertical="center"/>
      <protection/>
    </xf>
    <xf numFmtId="0" fontId="0" fillId="0" borderId="28" xfId="24" applyFont="1" applyFill="1" applyBorder="1" applyAlignment="1">
      <alignment vertical="center"/>
      <protection/>
    </xf>
    <xf numFmtId="187" fontId="0" fillId="0" borderId="16" xfId="24" applyNumberFormat="1" applyFill="1" applyBorder="1" applyAlignment="1" applyProtection="1">
      <alignment vertical="center"/>
      <protection/>
    </xf>
    <xf numFmtId="187" fontId="0" fillId="0" borderId="51" xfId="24" applyNumberFormat="1" applyFill="1" applyBorder="1" applyAlignment="1" applyProtection="1">
      <alignment vertical="center"/>
      <protection/>
    </xf>
    <xf numFmtId="37" fontId="0" fillId="0" borderId="18" xfId="24" applyNumberFormat="1" applyFill="1" applyBorder="1" applyAlignment="1" applyProtection="1">
      <alignment vertical="center"/>
      <protection/>
    </xf>
    <xf numFmtId="37" fontId="0" fillId="0" borderId="0" xfId="24" applyNumberFormat="1" applyFill="1" applyAlignment="1" applyProtection="1">
      <alignment vertical="center"/>
      <protection/>
    </xf>
    <xf numFmtId="0" fontId="0" fillId="0" borderId="1" xfId="24" applyFill="1" applyBorder="1" applyAlignment="1">
      <alignment vertical="center"/>
      <protection/>
    </xf>
    <xf numFmtId="0" fontId="0" fillId="0" borderId="1" xfId="24" applyFont="1" applyFill="1" applyBorder="1" applyAlignment="1">
      <alignment vertical="center"/>
      <protection/>
    </xf>
    <xf numFmtId="0" fontId="0" fillId="0" borderId="10" xfId="24" applyFill="1" applyBorder="1" applyAlignment="1">
      <alignment vertical="center"/>
      <protection/>
    </xf>
    <xf numFmtId="0" fontId="0" fillId="0" borderId="1" xfId="24" applyFill="1" applyBorder="1" applyAlignment="1">
      <alignment horizontal="center" vertical="center"/>
      <protection/>
    </xf>
    <xf numFmtId="0" fontId="0" fillId="0" borderId="20" xfId="24" applyFont="1" applyFill="1" applyBorder="1" applyAlignment="1">
      <alignment vertical="center"/>
      <protection/>
    </xf>
    <xf numFmtId="187" fontId="0" fillId="0" borderId="20" xfId="24" applyNumberFormat="1" applyFill="1" applyBorder="1" applyAlignment="1" applyProtection="1">
      <alignment vertical="center"/>
      <protection/>
    </xf>
    <xf numFmtId="187" fontId="0" fillId="0" borderId="13" xfId="24" applyNumberFormat="1" applyFill="1" applyBorder="1" applyAlignment="1" applyProtection="1">
      <alignment vertical="center"/>
      <protection/>
    </xf>
    <xf numFmtId="3" fontId="0" fillId="0" borderId="0" xfId="24" applyNumberFormat="1" applyFill="1" applyAlignment="1">
      <alignment vertical="center"/>
      <protection/>
    </xf>
    <xf numFmtId="3" fontId="0" fillId="0" borderId="55" xfId="23" applyNumberFormat="1" applyFont="1" applyFill="1" applyBorder="1" applyAlignment="1">
      <alignment vertical="center"/>
      <protection/>
    </xf>
    <xf numFmtId="187" fontId="0" fillId="0" borderId="55" xfId="23" applyNumberFormat="1" applyFont="1" applyFill="1" applyBorder="1" applyAlignment="1">
      <alignment vertical="center"/>
      <protection/>
    </xf>
    <xf numFmtId="187" fontId="0" fillId="0" borderId="55" xfId="0" applyNumberFormat="1" applyFont="1" applyFill="1" applyBorder="1" applyAlignment="1" applyProtection="1">
      <alignment vertical="center"/>
      <protection/>
    </xf>
    <xf numFmtId="37" fontId="0" fillId="0" borderId="55" xfId="0" applyNumberFormat="1" applyFont="1" applyFill="1" applyBorder="1" applyAlignment="1" applyProtection="1">
      <alignment vertical="center"/>
      <protection/>
    </xf>
    <xf numFmtId="187" fontId="0" fillId="0" borderId="0" xfId="23" applyNumberFormat="1" applyFont="1" applyFill="1" applyAlignment="1">
      <alignment vertical="center"/>
      <protection/>
    </xf>
    <xf numFmtId="1" fontId="0" fillId="0" borderId="55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3" fontId="0" fillId="0" borderId="55" xfId="0" applyNumberFormat="1" applyFont="1" applyFill="1" applyBorder="1" applyAlignment="1" applyProtection="1">
      <alignment vertical="center"/>
      <protection/>
    </xf>
    <xf numFmtId="187" fontId="0" fillId="0" borderId="55" xfId="17" applyNumberFormat="1" applyFont="1" applyFill="1" applyBorder="1" applyAlignment="1">
      <alignment vertical="center"/>
    </xf>
    <xf numFmtId="37" fontId="0" fillId="0" borderId="55" xfId="25" applyNumberFormat="1" applyFont="1" applyFill="1" applyBorder="1" applyAlignment="1" applyProtection="1">
      <alignment vertical="center"/>
      <protection/>
    </xf>
    <xf numFmtId="187" fontId="0" fillId="0" borderId="55" xfId="25" applyNumberFormat="1" applyFont="1" applyFill="1" applyBorder="1" applyAlignment="1" applyProtection="1">
      <alignment vertical="center"/>
      <protection/>
    </xf>
    <xf numFmtId="37" fontId="0" fillId="0" borderId="56" xfId="25" applyNumberFormat="1" applyFont="1" applyFill="1" applyBorder="1" applyAlignment="1" applyProtection="1">
      <alignment vertical="center"/>
      <protection/>
    </xf>
    <xf numFmtId="187" fontId="0" fillId="0" borderId="56" xfId="25" applyNumberFormat="1" applyFont="1" applyFill="1" applyBorder="1" applyAlignment="1" applyProtection="1">
      <alignment vertical="center"/>
      <protection/>
    </xf>
    <xf numFmtId="187" fontId="0" fillId="0" borderId="55" xfId="27" applyNumberFormat="1" applyFont="1" applyFill="1" applyBorder="1" applyAlignment="1" applyProtection="1">
      <alignment vertical="center"/>
      <protection/>
    </xf>
    <xf numFmtId="187" fontId="0" fillId="0" borderId="59" xfId="27" applyNumberFormat="1" applyFont="1" applyFill="1" applyBorder="1" applyAlignment="1" applyProtection="1">
      <alignment vertical="center"/>
      <protection/>
    </xf>
    <xf numFmtId="187" fontId="0" fillId="0" borderId="55" xfId="26" applyNumberFormat="1" applyFont="1" applyFill="1" applyBorder="1" applyAlignment="1" applyProtection="1">
      <alignment vertical="center"/>
      <protection/>
    </xf>
    <xf numFmtId="187" fontId="0" fillId="0" borderId="60" xfId="27" applyNumberFormat="1" applyFont="1" applyFill="1" applyBorder="1" applyAlignment="1" applyProtection="1">
      <alignment vertical="center"/>
      <protection/>
    </xf>
    <xf numFmtId="187" fontId="0" fillId="0" borderId="0" xfId="27" applyNumberFormat="1" applyFont="1" applyFill="1" applyBorder="1" applyAlignment="1" applyProtection="1">
      <alignment vertical="center"/>
      <protection/>
    </xf>
    <xf numFmtId="0" fontId="0" fillId="0" borderId="55" xfId="23" applyFont="1" applyFill="1" applyBorder="1" applyAlignment="1">
      <alignment vertical="center"/>
      <protection/>
    </xf>
    <xf numFmtId="3" fontId="0" fillId="0" borderId="57" xfId="0" applyNumberFormat="1" applyFont="1" applyFill="1" applyBorder="1" applyAlignment="1" applyProtection="1" quotePrefix="1">
      <alignment horizontal="left" vertical="center"/>
      <protection/>
    </xf>
    <xf numFmtId="0" fontId="0" fillId="0" borderId="41" xfId="23" applyFont="1" applyBorder="1" applyAlignment="1">
      <alignment vertical="center"/>
      <protection/>
    </xf>
    <xf numFmtId="180" fontId="0" fillId="0" borderId="52" xfId="23" applyNumberFormat="1" applyFill="1" applyBorder="1" applyAlignment="1" applyProtection="1">
      <alignment vertical="center"/>
      <protection/>
    </xf>
    <xf numFmtId="188" fontId="0" fillId="0" borderId="1" xfId="23" applyNumberFormat="1" applyFont="1" applyFill="1" applyBorder="1" applyAlignment="1" applyProtection="1">
      <alignment vertical="center"/>
      <protection/>
    </xf>
    <xf numFmtId="188" fontId="0" fillId="0" borderId="4" xfId="23" applyNumberFormat="1" applyFill="1" applyBorder="1" applyAlignment="1" applyProtection="1">
      <alignment vertical="center"/>
      <protection/>
    </xf>
    <xf numFmtId="188" fontId="0" fillId="0" borderId="2" xfId="23" applyNumberFormat="1" applyFont="1" applyFill="1" applyBorder="1" applyAlignment="1" applyProtection="1">
      <alignment vertical="center"/>
      <protection/>
    </xf>
    <xf numFmtId="188" fontId="0" fillId="0" borderId="52" xfId="23" applyNumberFormat="1" applyFill="1" applyBorder="1" applyAlignment="1" applyProtection="1">
      <alignment vertical="center"/>
      <protection/>
    </xf>
    <xf numFmtId="188" fontId="0" fillId="0" borderId="2" xfId="23" applyNumberFormat="1" applyFill="1" applyBorder="1" applyAlignment="1" applyProtection="1">
      <alignment vertical="center"/>
      <protection/>
    </xf>
    <xf numFmtId="189" fontId="0" fillId="0" borderId="2" xfId="23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>
      <alignment vertical="center" shrinkToFit="1"/>
    </xf>
    <xf numFmtId="0" fontId="0" fillId="0" borderId="19" xfId="27" applyFill="1" applyBorder="1" applyAlignment="1">
      <alignment vertical="center" shrinkToFit="1"/>
      <protection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27" applyFill="1" applyBorder="1" applyAlignment="1">
      <alignment horizontal="center" vertical="center" shrinkToFit="1"/>
      <protection/>
    </xf>
    <xf numFmtId="0" fontId="0" fillId="0" borderId="19" xfId="27" applyFont="1" applyFill="1" applyBorder="1" applyAlignment="1">
      <alignment horizontal="center" shrinkToFit="1"/>
      <protection/>
    </xf>
    <xf numFmtId="0" fontId="0" fillId="0" borderId="13" xfId="27" applyFill="1" applyBorder="1" applyAlignment="1">
      <alignment vertical="center" shrinkToFit="1"/>
      <protection/>
    </xf>
    <xf numFmtId="0" fontId="0" fillId="0" borderId="19" xfId="27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23" applyFont="1" applyFill="1" applyAlignment="1">
      <alignment horizontal="left" vertical="center"/>
      <protection/>
    </xf>
    <xf numFmtId="189" fontId="0" fillId="0" borderId="1" xfId="23" applyNumberFormat="1" applyFill="1" applyBorder="1" applyAlignment="1" applyProtection="1">
      <alignment vertical="center"/>
      <protection/>
    </xf>
    <xf numFmtId="0" fontId="0" fillId="0" borderId="19" xfId="27" applyNumberFormat="1" applyFill="1" applyBorder="1" applyAlignment="1">
      <alignment vertical="center" shrinkToFit="1"/>
      <protection/>
    </xf>
    <xf numFmtId="0" fontId="0" fillId="0" borderId="19" xfId="27" applyNumberFormat="1" applyFill="1" applyBorder="1" applyAlignment="1">
      <alignment horizontal="center" vertical="center" shrinkToFit="1"/>
      <protection/>
    </xf>
    <xf numFmtId="0" fontId="0" fillId="0" borderId="19" xfId="27" applyNumberFormat="1" applyFont="1" applyFill="1" applyBorder="1" applyAlignment="1">
      <alignment horizontal="center" vertical="center" shrinkToFit="1"/>
      <protection/>
    </xf>
    <xf numFmtId="0" fontId="0" fillId="0" borderId="13" xfId="27" applyNumberFormat="1" applyFill="1" applyBorder="1" applyAlignment="1">
      <alignment vertical="center" shrinkToFit="1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21" xfId="21" applyFill="1" applyBorder="1" applyAlignment="1">
      <alignment vertical="center"/>
      <protection/>
    </xf>
    <xf numFmtId="0" fontId="0" fillId="0" borderId="21" xfId="21" applyFill="1" applyBorder="1" applyAlignment="1">
      <alignment horizontal="right"/>
      <protection/>
    </xf>
    <xf numFmtId="0" fontId="0" fillId="0" borderId="18" xfId="2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0" fontId="0" fillId="0" borderId="54" xfId="21" applyFill="1" applyBorder="1" applyAlignment="1">
      <alignment vertical="center"/>
      <protection/>
    </xf>
    <xf numFmtId="187" fontId="0" fillId="0" borderId="61" xfId="21" applyNumberFormat="1" applyFill="1" applyBorder="1" applyAlignment="1">
      <alignment vertical="center"/>
      <protection/>
    </xf>
    <xf numFmtId="187" fontId="0" fillId="0" borderId="62" xfId="21" applyNumberFormat="1" applyFill="1" applyBorder="1" applyAlignment="1">
      <alignment vertical="center"/>
      <protection/>
    </xf>
    <xf numFmtId="187" fontId="0" fillId="0" borderId="19" xfId="21" applyNumberFormat="1" applyFill="1" applyBorder="1" applyAlignment="1">
      <alignment vertical="center"/>
      <protection/>
    </xf>
    <xf numFmtId="187" fontId="0" fillId="0" borderId="18" xfId="21" applyNumberFormat="1" applyFill="1" applyBorder="1" applyAlignment="1">
      <alignment vertical="center"/>
      <protection/>
    </xf>
    <xf numFmtId="187" fontId="0" fillId="0" borderId="33" xfId="21" applyNumberFormat="1" applyFill="1" applyBorder="1" applyAlignment="1">
      <alignment vertical="center"/>
      <protection/>
    </xf>
    <xf numFmtId="0" fontId="0" fillId="0" borderId="28" xfId="21" applyFill="1" applyBorder="1" applyAlignment="1">
      <alignment horizontal="center" vertical="center"/>
      <protection/>
    </xf>
    <xf numFmtId="187" fontId="0" fillId="0" borderId="5" xfId="21" applyNumberFormat="1" applyFill="1" applyBorder="1" applyAlignment="1">
      <alignment vertical="center"/>
      <protection/>
    </xf>
    <xf numFmtId="187" fontId="0" fillId="0" borderId="29" xfId="21" applyNumberFormat="1" applyFill="1" applyBorder="1" applyAlignment="1">
      <alignment vertical="center"/>
      <protection/>
    </xf>
    <xf numFmtId="187" fontId="0" fillId="0" borderId="6" xfId="21" applyNumberFormat="1" applyFill="1" applyBorder="1" applyAlignment="1" applyProtection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10" xfId="21" applyFill="1" applyBorder="1" applyAlignment="1">
      <alignment horizontal="center" vertical="center"/>
      <protection/>
    </xf>
    <xf numFmtId="187" fontId="0" fillId="0" borderId="63" xfId="21" applyNumberFormat="1" applyFill="1" applyBorder="1" applyAlignment="1">
      <alignment vertical="center"/>
      <protection/>
    </xf>
    <xf numFmtId="187" fontId="0" fillId="0" borderId="64" xfId="21" applyNumberFormat="1" applyFill="1" applyBorder="1" applyAlignment="1">
      <alignment vertical="center"/>
      <protection/>
    </xf>
    <xf numFmtId="187" fontId="0" fillId="0" borderId="2" xfId="21" applyNumberFormat="1" applyFill="1" applyBorder="1" applyAlignment="1" applyProtection="1">
      <alignment vertical="center"/>
      <protection/>
    </xf>
    <xf numFmtId="187" fontId="0" fillId="0" borderId="14" xfId="21" applyNumberFormat="1" applyFill="1" applyBorder="1" applyAlignment="1">
      <alignment vertical="center"/>
      <protection/>
    </xf>
    <xf numFmtId="187" fontId="0" fillId="0" borderId="15" xfId="21" applyNumberFormat="1" applyFill="1" applyBorder="1" applyAlignment="1">
      <alignment vertical="center"/>
      <protection/>
    </xf>
    <xf numFmtId="187" fontId="0" fillId="0" borderId="41" xfId="21" applyNumberFormat="1" applyFill="1" applyBorder="1" applyAlignment="1">
      <alignment vertical="center"/>
      <protection/>
    </xf>
    <xf numFmtId="187" fontId="0" fillId="0" borderId="42" xfId="21" applyNumberFormat="1" applyFill="1" applyBorder="1" applyAlignment="1">
      <alignment vertical="center"/>
      <protection/>
    </xf>
    <xf numFmtId="187" fontId="0" fillId="0" borderId="1" xfId="21" applyNumberFormat="1" applyFill="1" applyBorder="1" applyAlignment="1">
      <alignment vertical="center"/>
      <protection/>
    </xf>
    <xf numFmtId="187" fontId="0" fillId="0" borderId="24" xfId="21" applyNumberFormat="1" applyFill="1" applyBorder="1" applyAlignment="1">
      <alignment vertical="center"/>
      <protection/>
    </xf>
    <xf numFmtId="187" fontId="0" fillId="0" borderId="65" xfId="21" applyNumberFormat="1" applyFill="1" applyBorder="1" applyAlignment="1" applyProtection="1">
      <alignment vertical="center"/>
      <protection/>
    </xf>
    <xf numFmtId="187" fontId="0" fillId="0" borderId="19" xfId="21" applyNumberFormat="1" applyFill="1" applyBorder="1" applyAlignment="1" applyProtection="1">
      <alignment vertical="center"/>
      <protection/>
    </xf>
    <xf numFmtId="187" fontId="0" fillId="0" borderId="7" xfId="21" applyNumberFormat="1" applyFill="1" applyBorder="1" applyAlignment="1" applyProtection="1">
      <alignment vertical="center"/>
      <protection/>
    </xf>
    <xf numFmtId="187" fontId="0" fillId="0" borderId="30" xfId="21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 vertical="center"/>
      <protection/>
    </xf>
    <xf numFmtId="0" fontId="0" fillId="0" borderId="10" xfId="21" applyFont="1" applyFill="1" applyBorder="1" applyAlignment="1">
      <alignment horizontal="right" vertical="center"/>
      <protection/>
    </xf>
    <xf numFmtId="0" fontId="0" fillId="0" borderId="21" xfId="21" applyFill="1" applyBorder="1" applyAlignment="1">
      <alignment horizontal="center" vertical="center"/>
      <protection/>
    </xf>
    <xf numFmtId="187" fontId="0" fillId="0" borderId="35" xfId="21" applyNumberFormat="1" applyFill="1" applyBorder="1" applyAlignment="1" applyProtection="1">
      <alignment vertical="center"/>
      <protection/>
    </xf>
    <xf numFmtId="187" fontId="0" fillId="0" borderId="13" xfId="21" applyNumberFormat="1" applyFill="1" applyBorder="1" applyAlignment="1" applyProtection="1">
      <alignment vertical="center"/>
      <protection/>
    </xf>
    <xf numFmtId="187" fontId="0" fillId="0" borderId="37" xfId="21" applyNumberFormat="1" applyFill="1" applyBorder="1" applyAlignment="1" applyProtection="1">
      <alignment vertical="center"/>
      <protection/>
    </xf>
    <xf numFmtId="0" fontId="0" fillId="0" borderId="0" xfId="22" applyNumberFormat="1" applyFill="1">
      <alignment/>
      <protection/>
    </xf>
    <xf numFmtId="0" fontId="0" fillId="0" borderId="20" xfId="22" applyNumberFormat="1" applyFill="1" applyBorder="1" applyAlignment="1">
      <alignment vertical="center"/>
      <protection/>
    </xf>
    <xf numFmtId="0" fontId="0" fillId="0" borderId="21" xfId="22" applyNumberFormat="1" applyFill="1" applyBorder="1" applyAlignment="1">
      <alignment vertical="center"/>
      <protection/>
    </xf>
    <xf numFmtId="187" fontId="0" fillId="0" borderId="13" xfId="22" applyNumberFormat="1" applyFill="1" applyBorder="1" applyAlignment="1" applyProtection="1">
      <alignment vertical="center"/>
      <protection/>
    </xf>
    <xf numFmtId="0" fontId="0" fillId="0" borderId="18" xfId="22" applyFill="1" applyBorder="1">
      <alignment/>
      <protection/>
    </xf>
    <xf numFmtId="0" fontId="0" fillId="0" borderId="0" xfId="22" applyFill="1">
      <alignment/>
      <protection/>
    </xf>
    <xf numFmtId="0" fontId="8" fillId="0" borderId="0" xfId="22" applyNumberFormat="1" applyFont="1" applyFill="1">
      <alignment/>
      <protection/>
    </xf>
    <xf numFmtId="0" fontId="5" fillId="0" borderId="0" xfId="22" applyNumberFormat="1" applyFont="1" applyFill="1">
      <alignment/>
      <protection/>
    </xf>
    <xf numFmtId="0" fontId="0" fillId="0" borderId="21" xfId="22" applyNumberFormat="1" applyFill="1" applyBorder="1">
      <alignment/>
      <protection/>
    </xf>
    <xf numFmtId="0" fontId="0" fillId="0" borderId="21" xfId="22" applyNumberFormat="1" applyFill="1" applyBorder="1" applyAlignment="1">
      <alignment horizontal="right"/>
      <protection/>
    </xf>
    <xf numFmtId="0" fontId="0" fillId="0" borderId="18" xfId="21" applyNumberFormat="1" applyFill="1" applyBorder="1" applyAlignment="1">
      <alignment vertical="center"/>
      <protection/>
    </xf>
    <xf numFmtId="0" fontId="0" fillId="0" borderId="0" xfId="21" applyNumberFormat="1" applyFill="1" applyAlignment="1">
      <alignment vertical="center"/>
      <protection/>
    </xf>
    <xf numFmtId="0" fontId="0" fillId="0" borderId="18" xfId="22" applyNumberFormat="1" applyFill="1" applyBorder="1">
      <alignment/>
      <protection/>
    </xf>
    <xf numFmtId="0" fontId="0" fillId="0" borderId="20" xfId="21" applyNumberFormat="1" applyFill="1" applyBorder="1" applyAlignment="1">
      <alignment vertical="center"/>
      <protection/>
    </xf>
    <xf numFmtId="0" fontId="0" fillId="0" borderId="21" xfId="21" applyNumberFormat="1" applyFill="1" applyBorder="1" applyAlignment="1">
      <alignment vertical="center"/>
      <protection/>
    </xf>
    <xf numFmtId="0" fontId="0" fillId="0" borderId="54" xfId="21" applyNumberFormat="1" applyFill="1" applyBorder="1" applyAlignment="1">
      <alignment vertical="center"/>
      <protection/>
    </xf>
    <xf numFmtId="0" fontId="0" fillId="0" borderId="61" xfId="21" applyFill="1" applyBorder="1" applyAlignment="1">
      <alignment vertical="center"/>
      <protection/>
    </xf>
    <xf numFmtId="0" fontId="0" fillId="0" borderId="66" xfId="21" applyFill="1" applyBorder="1" applyAlignment="1">
      <alignment vertical="center"/>
      <protection/>
    </xf>
    <xf numFmtId="0" fontId="0" fillId="0" borderId="66" xfId="21" applyFont="1" applyFill="1" applyBorder="1" applyAlignment="1" quotePrefix="1">
      <alignment horizontal="left" vertical="center"/>
      <protection/>
    </xf>
    <xf numFmtId="0" fontId="0" fillId="0" borderId="67" xfId="21" applyFill="1" applyBorder="1" applyAlignment="1">
      <alignment horizontal="center" vertical="center"/>
      <protection/>
    </xf>
    <xf numFmtId="187" fontId="0" fillId="0" borderId="68" xfId="21" applyNumberFormat="1" applyFill="1" applyBorder="1" applyAlignment="1" applyProtection="1">
      <alignment vertical="center"/>
      <protection/>
    </xf>
    <xf numFmtId="187" fontId="0" fillId="0" borderId="69" xfId="21" applyNumberFormat="1" applyFill="1" applyBorder="1" applyAlignment="1" applyProtection="1">
      <alignment vertical="center"/>
      <protection/>
    </xf>
    <xf numFmtId="187" fontId="0" fillId="0" borderId="70" xfId="21" applyNumberFormat="1" applyFill="1" applyBorder="1" applyAlignment="1" applyProtection="1">
      <alignment vertical="center"/>
      <protection/>
    </xf>
    <xf numFmtId="0" fontId="0" fillId="0" borderId="0" xfId="21" applyFill="1" applyBorder="1" applyAlignment="1">
      <alignment vertical="center"/>
      <protection/>
    </xf>
    <xf numFmtId="187" fontId="0" fillId="0" borderId="34" xfId="21" applyNumberFormat="1" applyFill="1" applyBorder="1" applyAlignment="1" applyProtection="1">
      <alignment vertical="center"/>
      <protection/>
    </xf>
    <xf numFmtId="0" fontId="0" fillId="0" borderId="18" xfId="22" applyNumberFormat="1" applyFill="1" applyBorder="1" applyAlignment="1">
      <alignment vertical="center"/>
      <protection/>
    </xf>
    <xf numFmtId="0" fontId="0" fillId="0" borderId="0" xfId="22" applyNumberFormat="1" applyFill="1" applyBorder="1" applyAlignment="1">
      <alignment vertical="center"/>
      <protection/>
    </xf>
    <xf numFmtId="0" fontId="0" fillId="0" borderId="0" xfId="22" applyNumberFormat="1" applyFill="1" applyAlignment="1">
      <alignment vertical="center"/>
      <protection/>
    </xf>
    <xf numFmtId="0" fontId="0" fillId="0" borderId="28" xfId="22" applyNumberFormat="1" applyFill="1" applyBorder="1" applyAlignment="1">
      <alignment horizontal="center" vertical="center"/>
      <protection/>
    </xf>
    <xf numFmtId="187" fontId="0" fillId="0" borderId="5" xfId="22" applyNumberFormat="1" applyFill="1" applyBorder="1" applyAlignment="1" applyProtection="1">
      <alignment vertical="center"/>
      <protection/>
    </xf>
    <xf numFmtId="187" fontId="0" fillId="0" borderId="29" xfId="22" applyNumberFormat="1" applyFill="1" applyBorder="1" applyAlignment="1" applyProtection="1">
      <alignment vertical="center"/>
      <protection/>
    </xf>
    <xf numFmtId="187" fontId="0" fillId="0" borderId="6" xfId="22" applyNumberFormat="1" applyFill="1" applyBorder="1" applyAlignment="1" applyProtection="1">
      <alignment vertical="center"/>
      <protection/>
    </xf>
    <xf numFmtId="0" fontId="0" fillId="0" borderId="10" xfId="22" applyNumberFormat="1" applyFill="1" applyBorder="1" applyAlignment="1">
      <alignment vertical="center"/>
      <protection/>
    </xf>
    <xf numFmtId="0" fontId="0" fillId="0" borderId="10" xfId="22" applyNumberFormat="1" applyFill="1" applyBorder="1" applyAlignment="1">
      <alignment horizontal="center" vertical="center"/>
      <protection/>
    </xf>
    <xf numFmtId="187" fontId="0" fillId="0" borderId="1" xfId="22" applyNumberFormat="1" applyFill="1" applyBorder="1" applyAlignment="1" applyProtection="1">
      <alignment vertical="center"/>
      <protection/>
    </xf>
    <xf numFmtId="187" fontId="0" fillId="0" borderId="24" xfId="22" applyNumberFormat="1" applyFill="1" applyBorder="1" applyAlignment="1" applyProtection="1">
      <alignment vertical="center"/>
      <protection/>
    </xf>
    <xf numFmtId="187" fontId="0" fillId="0" borderId="2" xfId="22" applyNumberFormat="1" applyFill="1" applyBorder="1" applyAlignment="1" applyProtection="1">
      <alignment vertical="center"/>
      <protection/>
    </xf>
    <xf numFmtId="0" fontId="0" fillId="0" borderId="0" xfId="22" applyNumberFormat="1" applyFont="1" applyFill="1" applyAlignment="1">
      <alignment vertical="center"/>
      <protection/>
    </xf>
    <xf numFmtId="0" fontId="0" fillId="0" borderId="1" xfId="22" applyNumberFormat="1" applyFill="1" applyBorder="1" applyAlignment="1">
      <alignment vertical="center"/>
      <protection/>
    </xf>
    <xf numFmtId="0" fontId="0" fillId="0" borderId="71" xfId="22" applyNumberFormat="1" applyFill="1" applyBorder="1" applyAlignment="1">
      <alignment vertical="center"/>
      <protection/>
    </xf>
    <xf numFmtId="187" fontId="0" fillId="0" borderId="18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 applyProtection="1">
      <alignment vertical="center"/>
      <protection/>
    </xf>
    <xf numFmtId="0" fontId="0" fillId="0" borderId="10" xfId="22" applyNumberFormat="1" applyFont="1" applyFill="1" applyBorder="1" applyAlignment="1">
      <alignment horizontal="right" vertical="center"/>
      <protection/>
    </xf>
    <xf numFmtId="0" fontId="0" fillId="0" borderId="10" xfId="22" applyNumberFormat="1" applyFill="1" applyBorder="1" applyAlignment="1">
      <alignment horizontal="right" vertical="center"/>
      <protection/>
    </xf>
    <xf numFmtId="0" fontId="0" fillId="0" borderId="0" xfId="22" applyNumberFormat="1" applyFont="1" applyFill="1" applyAlignment="1">
      <alignment horizontal="left" vertical="center"/>
      <protection/>
    </xf>
    <xf numFmtId="0" fontId="0" fillId="0" borderId="18" xfId="22" applyNumberFormat="1" applyFont="1" applyFill="1" applyBorder="1" applyAlignment="1" quotePrefix="1">
      <alignment horizontal="left" vertical="center"/>
      <protection/>
    </xf>
    <xf numFmtId="0" fontId="0" fillId="0" borderId="0" xfId="22" applyNumberFormat="1" applyFont="1" applyFill="1" applyBorder="1" applyAlignment="1" quotePrefix="1">
      <alignment horizontal="left" vertical="center"/>
      <protection/>
    </xf>
    <xf numFmtId="0" fontId="0" fillId="0" borderId="71" xfId="22" applyNumberFormat="1" applyFont="1" applyFill="1" applyBorder="1" applyAlignment="1" quotePrefix="1">
      <alignment horizontal="left" vertical="center"/>
      <protection/>
    </xf>
    <xf numFmtId="187" fontId="0" fillId="0" borderId="18" xfId="22" applyNumberForma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7" fontId="0" fillId="0" borderId="41" xfId="22" applyNumberFormat="1" applyFill="1" applyBorder="1" applyAlignment="1" applyProtection="1">
      <alignment vertical="center"/>
      <protection/>
    </xf>
    <xf numFmtId="187" fontId="0" fillId="0" borderId="40" xfId="22" applyNumberFormat="1" applyFill="1" applyBorder="1" applyAlignment="1" applyProtection="1">
      <alignment vertical="center"/>
      <protection/>
    </xf>
    <xf numFmtId="187" fontId="0" fillId="0" borderId="43" xfId="22" applyNumberFormat="1" applyFill="1" applyBorder="1" applyAlignment="1" applyProtection="1">
      <alignment vertical="center"/>
      <protection/>
    </xf>
    <xf numFmtId="37" fontId="0" fillId="0" borderId="0" xfId="2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23" applyFill="1" applyBorder="1" applyAlignment="1">
      <alignment vertical="center"/>
      <protection/>
    </xf>
    <xf numFmtId="0" fontId="0" fillId="0" borderId="18" xfId="23" applyFont="1" applyFill="1" applyBorder="1" applyAlignment="1">
      <alignment vertical="center"/>
      <protection/>
    </xf>
    <xf numFmtId="37" fontId="0" fillId="0" borderId="18" xfId="23" applyNumberFormat="1" applyFill="1" applyBorder="1" applyAlignment="1" applyProtection="1">
      <alignment vertical="center"/>
      <protection/>
    </xf>
    <xf numFmtId="37" fontId="0" fillId="0" borderId="19" xfId="23" applyNumberFormat="1" applyFill="1" applyBorder="1" applyAlignment="1" applyProtection="1">
      <alignment vertical="center"/>
      <protection/>
    </xf>
    <xf numFmtId="37" fontId="0" fillId="0" borderId="72" xfId="23" applyNumberFormat="1" applyFill="1" applyBorder="1" applyAlignment="1" applyProtection="1">
      <alignment vertical="center"/>
      <protection/>
    </xf>
    <xf numFmtId="0" fontId="0" fillId="0" borderId="14" xfId="23" applyFont="1" applyFill="1" applyBorder="1" applyAlignment="1">
      <alignment vertical="center"/>
      <protection/>
    </xf>
    <xf numFmtId="0" fontId="0" fillId="0" borderId="73" xfId="23" applyFill="1" applyBorder="1" applyAlignment="1">
      <alignment vertical="center"/>
      <protection/>
    </xf>
    <xf numFmtId="37" fontId="0" fillId="0" borderId="50" xfId="23" applyNumberFormat="1" applyFill="1" applyBorder="1" applyAlignment="1" applyProtection="1">
      <alignment vertical="center"/>
      <protection/>
    </xf>
    <xf numFmtId="0" fontId="0" fillId="0" borderId="45" xfId="23" applyFont="1" applyFill="1" applyBorder="1" applyAlignment="1">
      <alignment vertical="center"/>
      <protection/>
    </xf>
    <xf numFmtId="0" fontId="0" fillId="0" borderId="74" xfId="23" applyFill="1" applyBorder="1" applyAlignment="1">
      <alignment vertical="center"/>
      <protection/>
    </xf>
    <xf numFmtId="188" fontId="0" fillId="0" borderId="75" xfId="23" applyNumberFormat="1" applyFill="1" applyBorder="1" applyAlignment="1" applyProtection="1">
      <alignment vertical="center"/>
      <protection/>
    </xf>
    <xf numFmtId="188" fontId="0" fillId="0" borderId="46" xfId="23" applyNumberFormat="1" applyFill="1" applyBorder="1" applyAlignment="1" applyProtection="1">
      <alignment vertical="center"/>
      <protection/>
    </xf>
    <xf numFmtId="188" fontId="0" fillId="0" borderId="47" xfId="23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87" fontId="0" fillId="0" borderId="0" xfId="21" applyNumberFormat="1" applyFill="1" applyAlignment="1">
      <alignment vertical="center"/>
      <protection/>
    </xf>
    <xf numFmtId="187" fontId="0" fillId="0" borderId="0" xfId="22" applyNumberFormat="1" applyFill="1">
      <alignment/>
      <protection/>
    </xf>
    <xf numFmtId="187" fontId="0" fillId="0" borderId="0" xfId="26" applyNumberFormat="1" applyFill="1" applyAlignment="1">
      <alignment vertical="center"/>
      <protection/>
    </xf>
    <xf numFmtId="187" fontId="0" fillId="0" borderId="7" xfId="26" applyNumberFormat="1" applyFont="1" applyFill="1" applyBorder="1" applyAlignment="1" applyProtection="1">
      <alignment vertical="center"/>
      <protection/>
    </xf>
    <xf numFmtId="187" fontId="0" fillId="0" borderId="29" xfId="26" applyNumberFormat="1" applyFont="1" applyFill="1" applyBorder="1" applyAlignment="1" applyProtection="1">
      <alignment vertical="center"/>
      <protection/>
    </xf>
    <xf numFmtId="187" fontId="0" fillId="0" borderId="30" xfId="26" applyNumberFormat="1" applyFont="1" applyFill="1" applyBorder="1" applyAlignment="1" applyProtection="1">
      <alignment vertical="center"/>
      <protection/>
    </xf>
    <xf numFmtId="187" fontId="0" fillId="0" borderId="24" xfId="26" applyNumberFormat="1" applyFont="1" applyFill="1" applyBorder="1" applyAlignment="1" applyProtection="1">
      <alignment vertical="center"/>
      <protection/>
    </xf>
    <xf numFmtId="0" fontId="0" fillId="0" borderId="36" xfId="0" applyNumberFormat="1" applyBorder="1" applyAlignment="1">
      <alignment vertical="center"/>
    </xf>
    <xf numFmtId="0" fontId="0" fillId="0" borderId="0" xfId="27" applyFont="1" applyFill="1" applyAlignment="1">
      <alignment horizontal="right" vertical="center"/>
      <protection/>
    </xf>
    <xf numFmtId="187" fontId="0" fillId="0" borderId="7" xfId="21" applyNumberFormat="1" applyFont="1" applyFill="1" applyBorder="1" applyAlignment="1" applyProtection="1">
      <alignment vertical="center"/>
      <protection/>
    </xf>
    <xf numFmtId="187" fontId="0" fillId="0" borderId="6" xfId="21" applyNumberFormat="1" applyFont="1" applyFill="1" applyBorder="1" applyAlignment="1" applyProtection="1">
      <alignment vertical="center"/>
      <protection/>
    </xf>
    <xf numFmtId="187" fontId="0" fillId="0" borderId="30" xfId="21" applyNumberFormat="1" applyFont="1" applyFill="1" applyBorder="1" applyAlignment="1" applyProtection="1">
      <alignment vertical="center"/>
      <protection/>
    </xf>
    <xf numFmtId="187" fontId="0" fillId="0" borderId="2" xfId="21" applyNumberFormat="1" applyFont="1" applyFill="1" applyBorder="1" applyAlignment="1" applyProtection="1">
      <alignment vertical="center"/>
      <protection/>
    </xf>
    <xf numFmtId="187" fontId="0" fillId="0" borderId="20" xfId="22" applyNumberFormat="1" applyFont="1" applyFill="1" applyBorder="1" applyAlignment="1" applyProtection="1">
      <alignment vertical="center"/>
      <protection/>
    </xf>
    <xf numFmtId="187" fontId="0" fillId="0" borderId="13" xfId="22" applyNumberFormat="1" applyFont="1" applyFill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horizontal="right" vertical="center" wrapText="1"/>
      <protection/>
    </xf>
    <xf numFmtId="187" fontId="0" fillId="0" borderId="14" xfId="23" applyNumberFormat="1" applyFill="1" applyBorder="1" applyAlignment="1" applyProtection="1">
      <alignment vertical="center"/>
      <protection/>
    </xf>
    <xf numFmtId="187" fontId="0" fillId="0" borderId="49" xfId="23" applyNumberFormat="1" applyFill="1" applyBorder="1" applyAlignment="1" applyProtection="1">
      <alignment vertical="center"/>
      <protection/>
    </xf>
    <xf numFmtId="187" fontId="0" fillId="0" borderId="76" xfId="23" applyNumberFormat="1" applyFill="1" applyBorder="1" applyAlignment="1" applyProtection="1">
      <alignment vertical="center"/>
      <protection/>
    </xf>
    <xf numFmtId="188" fontId="0" fillId="0" borderId="77" xfId="23" applyNumberFormat="1" applyFill="1" applyBorder="1" applyAlignment="1" applyProtection="1">
      <alignment vertical="center"/>
      <protection/>
    </xf>
    <xf numFmtId="57" fontId="10" fillId="0" borderId="33" xfId="0" applyNumberFormat="1" applyFont="1" applyBorder="1" applyAlignment="1">
      <alignment horizontal="center" wrapText="1"/>
    </xf>
    <xf numFmtId="0" fontId="10" fillId="0" borderId="33" xfId="0" applyNumberFormat="1" applyFont="1" applyFill="1" applyBorder="1" applyAlignment="1">
      <alignment horizontal="center" wrapText="1"/>
    </xf>
    <xf numFmtId="0" fontId="10" fillId="0" borderId="33" xfId="0" applyNumberFormat="1" applyFont="1" applyFill="1" applyBorder="1" applyAlignment="1">
      <alignment horizontal="center"/>
    </xf>
    <xf numFmtId="0" fontId="0" fillId="0" borderId="51" xfId="24" applyFont="1" applyFill="1" applyBorder="1" applyAlignment="1">
      <alignment vertical="center" wrapText="1"/>
      <protection/>
    </xf>
    <xf numFmtId="0" fontId="0" fillId="0" borderId="78" xfId="24" applyFont="1" applyFill="1" applyBorder="1" applyAlignment="1">
      <alignment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病院　繰入金調その１" xfId="21"/>
    <cellStyle name="標準_病院　繰入金調その２" xfId="22"/>
    <cellStyle name="標準_病院　経営分析表" xfId="23"/>
    <cellStyle name="標準_病院　資本的収支" xfId="24"/>
    <cellStyle name="標準_病院　収益費用構成表" xfId="25"/>
    <cellStyle name="標準_病院　損益計算書" xfId="26"/>
    <cellStyle name="標準_病院　貸借対照表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7"/>
  <sheetViews>
    <sheetView showGridLines="0" showZeros="0" tabSelected="1" view="pageBreakPreview" zoomScale="65" zoomScaleNormal="65" zoomScaleSheetLayoutView="6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16384" width="8.66015625" style="1" customWidth="1"/>
  </cols>
  <sheetData>
    <row r="1" spans="2:17" ht="40.5" customHeight="1">
      <c r="B1" s="64" t="s">
        <v>506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30.75" customHeight="1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8" ht="27.75" customHeight="1">
      <c r="B4" s="33"/>
      <c r="C4" s="34"/>
      <c r="D4" s="3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3"/>
    </row>
    <row r="5" spans="2:18" ht="27.75" customHeight="1">
      <c r="B5" s="33"/>
      <c r="C5" s="34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240</v>
      </c>
      <c r="L5" s="37" t="s">
        <v>241</v>
      </c>
      <c r="M5" s="37" t="s">
        <v>242</v>
      </c>
      <c r="N5" s="37" t="s">
        <v>10</v>
      </c>
      <c r="O5" s="37" t="s">
        <v>243</v>
      </c>
      <c r="P5" s="37" t="s">
        <v>11</v>
      </c>
      <c r="Q5" s="35"/>
      <c r="R5" s="33"/>
    </row>
    <row r="6" spans="2:18" ht="27.75" customHeight="1">
      <c r="B6" s="33"/>
      <c r="C6" s="34"/>
      <c r="D6" s="33"/>
      <c r="E6" s="35"/>
      <c r="F6" s="35"/>
      <c r="G6" s="461" t="s">
        <v>494</v>
      </c>
      <c r="H6" s="35"/>
      <c r="I6" s="35"/>
      <c r="J6" s="35"/>
      <c r="K6" s="35"/>
      <c r="L6" s="35"/>
      <c r="M6" s="35"/>
      <c r="N6" s="35"/>
      <c r="O6" s="35"/>
      <c r="P6" s="35"/>
      <c r="Q6" s="37" t="s">
        <v>12</v>
      </c>
      <c r="R6" s="33"/>
    </row>
    <row r="7" spans="2:18" ht="27.75" customHeight="1">
      <c r="B7" s="33" t="s">
        <v>13</v>
      </c>
      <c r="C7" s="34"/>
      <c r="D7" s="33" t="s">
        <v>325</v>
      </c>
      <c r="E7" s="35" t="s">
        <v>325</v>
      </c>
      <c r="F7" s="35"/>
      <c r="G7" s="461"/>
      <c r="H7" s="35"/>
      <c r="I7" s="35"/>
      <c r="J7" s="35" t="s">
        <v>325</v>
      </c>
      <c r="K7" s="54" t="s">
        <v>326</v>
      </c>
      <c r="L7" s="35" t="s">
        <v>324</v>
      </c>
      <c r="M7" s="35" t="s">
        <v>327</v>
      </c>
      <c r="N7" s="35" t="s">
        <v>327</v>
      </c>
      <c r="O7" s="35" t="s">
        <v>328</v>
      </c>
      <c r="P7" s="35"/>
      <c r="Q7" s="35"/>
      <c r="R7" s="33"/>
    </row>
    <row r="8" spans="2:18" ht="27.75" customHeight="1" thickBot="1">
      <c r="B8" s="38"/>
      <c r="C8" s="39"/>
      <c r="D8" s="38" t="s">
        <v>244</v>
      </c>
      <c r="E8" s="40" t="s">
        <v>245</v>
      </c>
      <c r="F8" s="40" t="s">
        <v>329</v>
      </c>
      <c r="G8" s="448" t="s">
        <v>330</v>
      </c>
      <c r="H8" s="40" t="s">
        <v>331</v>
      </c>
      <c r="I8" s="40" t="s">
        <v>332</v>
      </c>
      <c r="J8" s="40" t="s">
        <v>333</v>
      </c>
      <c r="K8" s="40" t="s">
        <v>334</v>
      </c>
      <c r="L8" s="55" t="s">
        <v>339</v>
      </c>
      <c r="M8" s="40" t="s">
        <v>335</v>
      </c>
      <c r="N8" s="40" t="s">
        <v>336</v>
      </c>
      <c r="O8" s="40" t="s">
        <v>337</v>
      </c>
      <c r="P8" s="40" t="s">
        <v>338</v>
      </c>
      <c r="Q8" s="40"/>
      <c r="R8" s="33"/>
    </row>
    <row r="9" spans="2:48" ht="30.75" customHeight="1">
      <c r="B9" s="41" t="s">
        <v>20</v>
      </c>
      <c r="C9" s="42"/>
      <c r="D9" s="2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 t="s">
        <v>21</v>
      </c>
      <c r="Q9" s="17">
        <v>13</v>
      </c>
      <c r="R9" s="66" t="s">
        <v>22</v>
      </c>
      <c r="S9" s="4" t="s">
        <v>22</v>
      </c>
      <c r="T9" s="4" t="s">
        <v>22</v>
      </c>
      <c r="U9" s="4" t="s">
        <v>22</v>
      </c>
      <c r="V9" s="4" t="s">
        <v>22</v>
      </c>
      <c r="W9" s="4" t="s">
        <v>22</v>
      </c>
      <c r="X9" s="4" t="s">
        <v>22</v>
      </c>
      <c r="Y9" s="4" t="s">
        <v>22</v>
      </c>
      <c r="Z9" s="4" t="s">
        <v>22</v>
      </c>
      <c r="AA9" s="4" t="s">
        <v>22</v>
      </c>
      <c r="AB9" s="4" t="s">
        <v>22</v>
      </c>
      <c r="AC9" s="4" t="s">
        <v>22</v>
      </c>
      <c r="AD9" s="4" t="s">
        <v>22</v>
      </c>
      <c r="AE9" s="4" t="s">
        <v>22</v>
      </c>
      <c r="AF9" s="4" t="s">
        <v>22</v>
      </c>
      <c r="AG9" s="4" t="s">
        <v>22</v>
      </c>
      <c r="AH9" s="4" t="s">
        <v>22</v>
      </c>
      <c r="AI9" s="4" t="s">
        <v>22</v>
      </c>
      <c r="AJ9" s="4" t="s">
        <v>22</v>
      </c>
      <c r="AK9" s="4" t="s">
        <v>22</v>
      </c>
      <c r="AL9" s="4" t="s">
        <v>22</v>
      </c>
      <c r="AM9" s="4" t="s">
        <v>22</v>
      </c>
      <c r="AN9" s="4" t="s">
        <v>22</v>
      </c>
      <c r="AO9" s="4" t="s">
        <v>22</v>
      </c>
      <c r="AP9" s="4" t="s">
        <v>22</v>
      </c>
      <c r="AQ9" s="4" t="s">
        <v>22</v>
      </c>
      <c r="AR9" s="4" t="s">
        <v>22</v>
      </c>
      <c r="AS9" s="4" t="s">
        <v>22</v>
      </c>
      <c r="AT9" s="4" t="s">
        <v>22</v>
      </c>
      <c r="AU9" s="4" t="s">
        <v>22</v>
      </c>
      <c r="AV9" s="4" t="s">
        <v>23</v>
      </c>
    </row>
    <row r="10" spans="2:48" ht="30.75" customHeight="1">
      <c r="B10" s="41" t="s">
        <v>24</v>
      </c>
      <c r="C10" s="42"/>
      <c r="D10" s="5" t="s">
        <v>25</v>
      </c>
      <c r="E10" s="6" t="s">
        <v>25</v>
      </c>
      <c r="F10" s="6" t="s">
        <v>25</v>
      </c>
      <c r="G10" s="6" t="s">
        <v>25</v>
      </c>
      <c r="H10" s="6" t="s">
        <v>25</v>
      </c>
      <c r="I10" s="6" t="s">
        <v>25</v>
      </c>
      <c r="J10" s="6" t="s">
        <v>497</v>
      </c>
      <c r="K10" s="6" t="s">
        <v>497</v>
      </c>
      <c r="L10" s="6" t="s">
        <v>25</v>
      </c>
      <c r="M10" s="6" t="s">
        <v>497</v>
      </c>
      <c r="N10" s="6" t="s">
        <v>497</v>
      </c>
      <c r="O10" s="6" t="s">
        <v>498</v>
      </c>
      <c r="P10" s="6" t="s">
        <v>25</v>
      </c>
      <c r="Q10" s="456"/>
      <c r="R10" s="66" t="s">
        <v>22</v>
      </c>
      <c r="S10" s="4" t="s">
        <v>22</v>
      </c>
      <c r="T10" s="4" t="s">
        <v>22</v>
      </c>
      <c r="U10" s="4" t="s">
        <v>22</v>
      </c>
      <c r="V10" s="4" t="s">
        <v>22</v>
      </c>
      <c r="W10" s="4" t="s">
        <v>22</v>
      </c>
      <c r="X10" s="4" t="s">
        <v>22</v>
      </c>
      <c r="Y10" s="4" t="s">
        <v>22</v>
      </c>
      <c r="Z10" s="4" t="s">
        <v>22</v>
      </c>
      <c r="AA10" s="4" t="s">
        <v>22</v>
      </c>
      <c r="AB10" s="4" t="s">
        <v>22</v>
      </c>
      <c r="AC10" s="4" t="s">
        <v>22</v>
      </c>
      <c r="AD10" s="4" t="s">
        <v>22</v>
      </c>
      <c r="AE10" s="4" t="s">
        <v>22</v>
      </c>
      <c r="AF10" s="4" t="s">
        <v>22</v>
      </c>
      <c r="AG10" s="4" t="s">
        <v>22</v>
      </c>
      <c r="AH10" s="4" t="s">
        <v>22</v>
      </c>
      <c r="AI10" s="4" t="s">
        <v>22</v>
      </c>
      <c r="AJ10" s="4" t="s">
        <v>22</v>
      </c>
      <c r="AK10" s="4" t="s">
        <v>22</v>
      </c>
      <c r="AL10" s="4" t="s">
        <v>22</v>
      </c>
      <c r="AM10" s="4" t="s">
        <v>22</v>
      </c>
      <c r="AN10" s="4" t="s">
        <v>22</v>
      </c>
      <c r="AO10" s="4" t="s">
        <v>22</v>
      </c>
      <c r="AP10" s="4" t="s">
        <v>22</v>
      </c>
      <c r="AQ10" s="4" t="s">
        <v>22</v>
      </c>
      <c r="AR10" s="4" t="s">
        <v>22</v>
      </c>
      <c r="AS10" s="4" t="s">
        <v>22</v>
      </c>
      <c r="AT10" s="4" t="s">
        <v>22</v>
      </c>
      <c r="AU10" s="4" t="s">
        <v>22</v>
      </c>
      <c r="AV10" s="4" t="s">
        <v>23</v>
      </c>
    </row>
    <row r="11" spans="2:48" ht="30.75" customHeight="1">
      <c r="B11" s="41" t="s">
        <v>26</v>
      </c>
      <c r="C11" s="42"/>
      <c r="D11" s="7" t="s">
        <v>322</v>
      </c>
      <c r="E11" s="8" t="s">
        <v>322</v>
      </c>
      <c r="F11" s="8" t="s">
        <v>322</v>
      </c>
      <c r="G11" s="8" t="s">
        <v>322</v>
      </c>
      <c r="H11" s="8" t="s">
        <v>322</v>
      </c>
      <c r="I11" s="8" t="s">
        <v>322</v>
      </c>
      <c r="J11" s="8" t="s">
        <v>322</v>
      </c>
      <c r="K11" s="8" t="s">
        <v>322</v>
      </c>
      <c r="L11" s="8" t="s">
        <v>322</v>
      </c>
      <c r="M11" s="8" t="s">
        <v>322</v>
      </c>
      <c r="N11" s="8" t="s">
        <v>323</v>
      </c>
      <c r="O11" s="8" t="s">
        <v>322</v>
      </c>
      <c r="P11" s="8" t="s">
        <v>322</v>
      </c>
      <c r="Q11" s="17">
        <v>12</v>
      </c>
      <c r="R11" s="66" t="s">
        <v>22</v>
      </c>
      <c r="S11" s="4" t="s">
        <v>22</v>
      </c>
      <c r="T11" s="4" t="s">
        <v>22</v>
      </c>
      <c r="U11" s="4" t="s">
        <v>22</v>
      </c>
      <c r="V11" s="4" t="s">
        <v>22</v>
      </c>
      <c r="W11" s="4" t="s">
        <v>22</v>
      </c>
      <c r="X11" s="4" t="s">
        <v>22</v>
      </c>
      <c r="Y11" s="4" t="s">
        <v>22</v>
      </c>
      <c r="Z11" s="4" t="s">
        <v>22</v>
      </c>
      <c r="AA11" s="4" t="s">
        <v>22</v>
      </c>
      <c r="AB11" s="4" t="s">
        <v>22</v>
      </c>
      <c r="AC11" s="4" t="s">
        <v>22</v>
      </c>
      <c r="AD11" s="4" t="s">
        <v>22</v>
      </c>
      <c r="AE11" s="4" t="s">
        <v>22</v>
      </c>
      <c r="AF11" s="4" t="s">
        <v>22</v>
      </c>
      <c r="AG11" s="4" t="s">
        <v>22</v>
      </c>
      <c r="AH11" s="4" t="s">
        <v>22</v>
      </c>
      <c r="AI11" s="4" t="s">
        <v>22</v>
      </c>
      <c r="AJ11" s="4" t="s">
        <v>22</v>
      </c>
      <c r="AK11" s="4" t="s">
        <v>22</v>
      </c>
      <c r="AL11" s="4" t="s">
        <v>22</v>
      </c>
      <c r="AM11" s="4" t="s">
        <v>22</v>
      </c>
      <c r="AN11" s="4" t="s">
        <v>22</v>
      </c>
      <c r="AO11" s="4" t="s">
        <v>22</v>
      </c>
      <c r="AP11" s="4" t="s">
        <v>22</v>
      </c>
      <c r="AQ11" s="4" t="s">
        <v>22</v>
      </c>
      <c r="AR11" s="4" t="s">
        <v>22</v>
      </c>
      <c r="AS11" s="4" t="s">
        <v>22</v>
      </c>
      <c r="AT11" s="4" t="s">
        <v>22</v>
      </c>
      <c r="AU11" s="4" t="s">
        <v>22</v>
      </c>
      <c r="AV11" s="4" t="s">
        <v>23</v>
      </c>
    </row>
    <row r="12" spans="2:18" ht="30.75" customHeight="1">
      <c r="B12" s="36" t="s">
        <v>27</v>
      </c>
      <c r="C12" s="43" t="s">
        <v>28</v>
      </c>
      <c r="D12" s="14">
        <v>566</v>
      </c>
      <c r="E12" s="15">
        <v>285</v>
      </c>
      <c r="F12" s="15">
        <v>326</v>
      </c>
      <c r="G12" s="15">
        <v>234</v>
      </c>
      <c r="H12" s="15">
        <v>200</v>
      </c>
      <c r="I12" s="15">
        <v>199</v>
      </c>
      <c r="J12" s="15">
        <v>100</v>
      </c>
      <c r="K12" s="15">
        <v>50</v>
      </c>
      <c r="L12" s="15">
        <v>243</v>
      </c>
      <c r="M12" s="15">
        <v>30</v>
      </c>
      <c r="N12" s="15">
        <v>20</v>
      </c>
      <c r="O12" s="15">
        <v>33</v>
      </c>
      <c r="P12" s="15">
        <v>234</v>
      </c>
      <c r="Q12" s="15">
        <f aca="true" t="shared" si="0" ref="Q12:Q17">SUM(D12:P12)</f>
        <v>2520</v>
      </c>
      <c r="R12" s="33"/>
    </row>
    <row r="13" spans="2:18" ht="30.75" customHeight="1">
      <c r="B13" s="36"/>
      <c r="C13" s="43" t="s">
        <v>238</v>
      </c>
      <c r="D13" s="14">
        <v>0</v>
      </c>
      <c r="E13" s="15">
        <v>37</v>
      </c>
      <c r="F13" s="15">
        <v>0</v>
      </c>
      <c r="G13" s="15">
        <v>0</v>
      </c>
      <c r="H13" s="15">
        <v>0</v>
      </c>
      <c r="I13" s="15">
        <v>56</v>
      </c>
      <c r="J13" s="15">
        <v>0</v>
      </c>
      <c r="K13" s="15">
        <v>40</v>
      </c>
      <c r="L13" s="15">
        <v>38</v>
      </c>
      <c r="M13" s="15">
        <v>0</v>
      </c>
      <c r="N13" s="15">
        <v>30</v>
      </c>
      <c r="O13" s="15">
        <v>43</v>
      </c>
      <c r="P13" s="15">
        <v>40</v>
      </c>
      <c r="Q13" s="15">
        <f t="shared" si="0"/>
        <v>284</v>
      </c>
      <c r="R13" s="33"/>
    </row>
    <row r="14" spans="2:18" ht="30.75" customHeight="1">
      <c r="B14" s="33"/>
      <c r="C14" s="43" t="s">
        <v>29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10</v>
      </c>
      <c r="Q14" s="15">
        <f t="shared" si="0"/>
        <v>10</v>
      </c>
      <c r="R14" s="33"/>
    </row>
    <row r="15" spans="2:18" ht="30.75" customHeight="1">
      <c r="B15" s="69" t="s">
        <v>30</v>
      </c>
      <c r="C15" s="43" t="s">
        <v>31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3"/>
    </row>
    <row r="16" spans="2:18" ht="30.75" customHeight="1">
      <c r="B16" s="33"/>
      <c r="C16" s="44" t="s">
        <v>279</v>
      </c>
      <c r="D16" s="14">
        <v>2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</v>
      </c>
      <c r="Q16" s="15">
        <f t="shared" si="0"/>
        <v>8</v>
      </c>
      <c r="R16" s="33"/>
    </row>
    <row r="17" spans="2:18" ht="30.75" customHeight="1">
      <c r="B17" s="45" t="s">
        <v>32</v>
      </c>
      <c r="C17" s="46" t="s">
        <v>12</v>
      </c>
      <c r="D17" s="16">
        <f>SUM(D12:D16)</f>
        <v>568</v>
      </c>
      <c r="E17" s="17">
        <f aca="true" t="shared" si="1" ref="E17:P17">SUM(E12:E16)</f>
        <v>322</v>
      </c>
      <c r="F17" s="17">
        <f t="shared" si="1"/>
        <v>328</v>
      </c>
      <c r="G17" s="17">
        <f t="shared" si="1"/>
        <v>234</v>
      </c>
      <c r="H17" s="17">
        <f t="shared" si="1"/>
        <v>200</v>
      </c>
      <c r="I17" s="17">
        <f t="shared" si="1"/>
        <v>255</v>
      </c>
      <c r="J17" s="17">
        <f t="shared" si="1"/>
        <v>100</v>
      </c>
      <c r="K17" s="17">
        <f t="shared" si="1"/>
        <v>90</v>
      </c>
      <c r="L17" s="17">
        <f t="shared" si="1"/>
        <v>281</v>
      </c>
      <c r="M17" s="17">
        <f t="shared" si="1"/>
        <v>30</v>
      </c>
      <c r="N17" s="17">
        <f t="shared" si="1"/>
        <v>50</v>
      </c>
      <c r="O17" s="17">
        <f t="shared" si="1"/>
        <v>76</v>
      </c>
      <c r="P17" s="17">
        <f t="shared" si="1"/>
        <v>288</v>
      </c>
      <c r="Q17" s="17">
        <f t="shared" si="0"/>
        <v>2822</v>
      </c>
      <c r="R17" s="33"/>
    </row>
    <row r="18" spans="2:18" ht="30.75" customHeight="1">
      <c r="B18" s="36" t="s">
        <v>33</v>
      </c>
      <c r="C18" s="47" t="s">
        <v>253</v>
      </c>
      <c r="D18" s="14">
        <v>35876</v>
      </c>
      <c r="E18" s="15">
        <v>19843</v>
      </c>
      <c r="F18" s="15">
        <v>23848</v>
      </c>
      <c r="G18" s="15">
        <v>11175</v>
      </c>
      <c r="H18" s="15">
        <v>18069</v>
      </c>
      <c r="I18" s="15">
        <v>19705</v>
      </c>
      <c r="J18" s="15">
        <v>6980</v>
      </c>
      <c r="K18" s="15">
        <v>5358</v>
      </c>
      <c r="L18" s="15">
        <v>15461</v>
      </c>
      <c r="M18" s="15">
        <v>2087</v>
      </c>
      <c r="N18" s="15">
        <v>3964</v>
      </c>
      <c r="O18" s="15">
        <v>2776</v>
      </c>
      <c r="P18" s="15">
        <v>20557</v>
      </c>
      <c r="Q18" s="15">
        <f aca="true" t="shared" si="2" ref="Q18:Q23">SUM(D18:P18)</f>
        <v>185699</v>
      </c>
      <c r="R18" s="33"/>
    </row>
    <row r="19" spans="2:18" ht="30.75" customHeight="1">
      <c r="B19" s="36" t="s">
        <v>34</v>
      </c>
      <c r="C19" s="47" t="s">
        <v>252</v>
      </c>
      <c r="D19" s="14">
        <v>0</v>
      </c>
      <c r="E19" s="15">
        <v>1165</v>
      </c>
      <c r="F19" s="15">
        <v>0</v>
      </c>
      <c r="G19" s="15">
        <v>0</v>
      </c>
      <c r="H19" s="15">
        <v>0</v>
      </c>
      <c r="I19" s="15">
        <v>97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515</v>
      </c>
      <c r="P19" s="15">
        <v>0</v>
      </c>
      <c r="Q19" s="15">
        <f t="shared" si="2"/>
        <v>1777</v>
      </c>
      <c r="R19" s="33"/>
    </row>
    <row r="20" spans="2:18" ht="30.75" customHeight="1">
      <c r="B20" s="36" t="s">
        <v>35</v>
      </c>
      <c r="C20" s="47" t="s">
        <v>251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2"/>
        <v>0</v>
      </c>
      <c r="R20" s="33"/>
    </row>
    <row r="21" spans="2:18" ht="30.75" customHeight="1">
      <c r="B21" s="41" t="s">
        <v>36</v>
      </c>
      <c r="C21" s="46" t="s">
        <v>12</v>
      </c>
      <c r="D21" s="16">
        <f>SUM(D18:D20)</f>
        <v>35876</v>
      </c>
      <c r="E21" s="17">
        <f aca="true" t="shared" si="3" ref="E21:P21">SUM(E18:E20)</f>
        <v>21008</v>
      </c>
      <c r="F21" s="17">
        <f t="shared" si="3"/>
        <v>23848</v>
      </c>
      <c r="G21" s="17">
        <f t="shared" si="3"/>
        <v>11175</v>
      </c>
      <c r="H21" s="17">
        <f t="shared" si="3"/>
        <v>18069</v>
      </c>
      <c r="I21" s="17">
        <f t="shared" si="3"/>
        <v>19802</v>
      </c>
      <c r="J21" s="17">
        <f t="shared" si="3"/>
        <v>6980</v>
      </c>
      <c r="K21" s="17">
        <f t="shared" si="3"/>
        <v>5358</v>
      </c>
      <c r="L21" s="17">
        <f t="shared" si="3"/>
        <v>15461</v>
      </c>
      <c r="M21" s="17">
        <f t="shared" si="3"/>
        <v>2087</v>
      </c>
      <c r="N21" s="17">
        <f t="shared" si="3"/>
        <v>3964</v>
      </c>
      <c r="O21" s="17">
        <f t="shared" si="3"/>
        <v>3291</v>
      </c>
      <c r="P21" s="17">
        <f t="shared" si="3"/>
        <v>20557</v>
      </c>
      <c r="Q21" s="17">
        <f t="shared" si="2"/>
        <v>187476</v>
      </c>
      <c r="R21" s="33"/>
    </row>
    <row r="22" spans="2:18" ht="30.75" customHeight="1">
      <c r="B22" s="33" t="s">
        <v>37</v>
      </c>
      <c r="C22" s="47" t="s">
        <v>250</v>
      </c>
      <c r="D22" s="14">
        <v>0</v>
      </c>
      <c r="E22" s="15">
        <v>0</v>
      </c>
      <c r="F22" s="15">
        <v>0</v>
      </c>
      <c r="G22" s="15">
        <v>0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2"/>
        <v>60</v>
      </c>
      <c r="R22" s="33"/>
    </row>
    <row r="23" spans="2:18" ht="30.75" customHeight="1">
      <c r="B23" s="41" t="s">
        <v>38</v>
      </c>
      <c r="C23" s="48" t="s">
        <v>249</v>
      </c>
      <c r="D23" s="16">
        <v>0</v>
      </c>
      <c r="E23" s="17">
        <v>0</v>
      </c>
      <c r="F23" s="17">
        <v>0</v>
      </c>
      <c r="G23" s="17">
        <v>0</v>
      </c>
      <c r="H23" s="17">
        <v>56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2"/>
        <v>56</v>
      </c>
      <c r="R23" s="33"/>
    </row>
    <row r="24" spans="1:48" s="10" customFormat="1" ht="30.75" customHeight="1">
      <c r="A24" s="65"/>
      <c r="B24" s="49" t="s">
        <v>280</v>
      </c>
      <c r="C24" s="50"/>
      <c r="D24" s="57" t="s">
        <v>499</v>
      </c>
      <c r="E24" s="58" t="s">
        <v>499</v>
      </c>
      <c r="F24" s="58" t="s">
        <v>500</v>
      </c>
      <c r="G24" s="58" t="s">
        <v>499</v>
      </c>
      <c r="H24" s="59" t="s">
        <v>499</v>
      </c>
      <c r="I24" s="58" t="s">
        <v>500</v>
      </c>
      <c r="J24" s="58" t="s">
        <v>500</v>
      </c>
      <c r="K24" s="58" t="s">
        <v>500</v>
      </c>
      <c r="L24" s="58" t="s">
        <v>500</v>
      </c>
      <c r="M24" s="58" t="s">
        <v>501</v>
      </c>
      <c r="N24" s="58" t="s">
        <v>500</v>
      </c>
      <c r="O24" s="58" t="s">
        <v>500</v>
      </c>
      <c r="P24" s="58" t="s">
        <v>500</v>
      </c>
      <c r="Q24" s="56"/>
      <c r="R24" s="67" t="s">
        <v>22</v>
      </c>
      <c r="S24" s="9"/>
      <c r="T24" s="9" t="s">
        <v>22</v>
      </c>
      <c r="U24" s="9" t="s">
        <v>22</v>
      </c>
      <c r="V24" s="9" t="s">
        <v>22</v>
      </c>
      <c r="W24" s="9" t="s">
        <v>22</v>
      </c>
      <c r="X24" s="9" t="s">
        <v>22</v>
      </c>
      <c r="Y24" s="9" t="s">
        <v>22</v>
      </c>
      <c r="Z24" s="9" t="s">
        <v>22</v>
      </c>
      <c r="AA24" s="9" t="s">
        <v>22</v>
      </c>
      <c r="AB24" s="9" t="s">
        <v>22</v>
      </c>
      <c r="AC24" s="9" t="s">
        <v>22</v>
      </c>
      <c r="AD24" s="9" t="s">
        <v>22</v>
      </c>
      <c r="AE24" s="9" t="s">
        <v>22</v>
      </c>
      <c r="AF24" s="9" t="s">
        <v>22</v>
      </c>
      <c r="AG24" s="9" t="s">
        <v>22</v>
      </c>
      <c r="AH24" s="9" t="s">
        <v>22</v>
      </c>
      <c r="AI24" s="9" t="s">
        <v>22</v>
      </c>
      <c r="AJ24" s="9" t="s">
        <v>22</v>
      </c>
      <c r="AK24" s="9" t="s">
        <v>22</v>
      </c>
      <c r="AL24" s="9" t="s">
        <v>22</v>
      </c>
      <c r="AM24" s="9" t="s">
        <v>22</v>
      </c>
      <c r="AN24" s="9" t="s">
        <v>22</v>
      </c>
      <c r="AO24" s="9" t="s">
        <v>22</v>
      </c>
      <c r="AP24" s="9" t="s">
        <v>22</v>
      </c>
      <c r="AQ24" s="9" t="s">
        <v>22</v>
      </c>
      <c r="AR24" s="9" t="s">
        <v>22</v>
      </c>
      <c r="AS24" s="9" t="s">
        <v>22</v>
      </c>
      <c r="AT24" s="9" t="s">
        <v>22</v>
      </c>
      <c r="AU24" s="9" t="s">
        <v>22</v>
      </c>
      <c r="AV24" s="9" t="s">
        <v>23</v>
      </c>
    </row>
    <row r="25" spans="2:18" ht="30.75" customHeight="1">
      <c r="B25" s="33" t="s">
        <v>248</v>
      </c>
      <c r="C25" s="42"/>
      <c r="D25" s="18">
        <f>SUM(D26:D30)</f>
        <v>164875</v>
      </c>
      <c r="E25" s="17">
        <f aca="true" t="shared" si="4" ref="E25:P25">SUM(E26:E30)</f>
        <v>83888</v>
      </c>
      <c r="F25" s="17">
        <f t="shared" si="4"/>
        <v>92434</v>
      </c>
      <c r="G25" s="17">
        <f t="shared" si="4"/>
        <v>22002</v>
      </c>
      <c r="H25" s="17">
        <f t="shared" si="4"/>
        <v>47565</v>
      </c>
      <c r="I25" s="17">
        <f t="shared" si="4"/>
        <v>73789</v>
      </c>
      <c r="J25" s="17">
        <f t="shared" si="4"/>
        <v>17752</v>
      </c>
      <c r="K25" s="17">
        <f t="shared" si="4"/>
        <v>26651</v>
      </c>
      <c r="L25" s="17">
        <f t="shared" si="4"/>
        <v>43094</v>
      </c>
      <c r="M25" s="17">
        <f t="shared" si="4"/>
        <v>8515</v>
      </c>
      <c r="N25" s="17">
        <f t="shared" si="4"/>
        <v>18054</v>
      </c>
      <c r="O25" s="17">
        <f t="shared" si="4"/>
        <v>17989</v>
      </c>
      <c r="P25" s="17">
        <f t="shared" si="4"/>
        <v>72670</v>
      </c>
      <c r="Q25" s="17">
        <f aca="true" t="shared" si="5" ref="Q25:Q42">SUM(D25:P25)</f>
        <v>689278</v>
      </c>
      <c r="R25" s="33"/>
    </row>
    <row r="26" spans="2:18" ht="30.75" customHeight="1">
      <c r="B26" s="33"/>
      <c r="C26" s="43" t="s">
        <v>28</v>
      </c>
      <c r="D26" s="19">
        <v>164875</v>
      </c>
      <c r="E26" s="15">
        <v>80116</v>
      </c>
      <c r="F26" s="15">
        <v>92434</v>
      </c>
      <c r="G26" s="15">
        <v>22002</v>
      </c>
      <c r="H26" s="15">
        <v>47565</v>
      </c>
      <c r="I26" s="15">
        <v>60181</v>
      </c>
      <c r="J26" s="15">
        <v>17752</v>
      </c>
      <c r="K26" s="15">
        <v>14007</v>
      </c>
      <c r="L26" s="15">
        <v>43094</v>
      </c>
      <c r="M26" s="15">
        <v>8515</v>
      </c>
      <c r="N26" s="15">
        <v>7489</v>
      </c>
      <c r="O26" s="15">
        <v>6630</v>
      </c>
      <c r="P26" s="15">
        <v>59809</v>
      </c>
      <c r="Q26" s="15">
        <f t="shared" si="5"/>
        <v>624469</v>
      </c>
      <c r="R26" s="33"/>
    </row>
    <row r="27" spans="2:18" ht="30.75" customHeight="1">
      <c r="B27" s="33"/>
      <c r="C27" s="43" t="s">
        <v>238</v>
      </c>
      <c r="D27" s="20">
        <v>0</v>
      </c>
      <c r="E27" s="15">
        <v>3772</v>
      </c>
      <c r="F27" s="15">
        <v>0</v>
      </c>
      <c r="G27" s="15">
        <v>0</v>
      </c>
      <c r="H27" s="15">
        <v>0</v>
      </c>
      <c r="I27" s="15">
        <v>13608</v>
      </c>
      <c r="J27" s="15">
        <v>0</v>
      </c>
      <c r="K27" s="15">
        <v>12644</v>
      </c>
      <c r="L27" s="15">
        <v>0</v>
      </c>
      <c r="M27" s="15">
        <v>0</v>
      </c>
      <c r="N27" s="15">
        <v>10565</v>
      </c>
      <c r="O27" s="15">
        <v>11359</v>
      </c>
      <c r="P27" s="15">
        <v>12861</v>
      </c>
      <c r="Q27" s="15">
        <f t="shared" si="5"/>
        <v>64809</v>
      </c>
      <c r="R27" s="33"/>
    </row>
    <row r="28" spans="2:18" ht="30.75" customHeight="1">
      <c r="B28" s="33"/>
      <c r="C28" s="43" t="s">
        <v>29</v>
      </c>
      <c r="D28" s="21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5"/>
        <v>0</v>
      </c>
      <c r="R28" s="33"/>
    </row>
    <row r="29" spans="2:18" ht="30.75" customHeight="1">
      <c r="B29" s="33"/>
      <c r="C29" s="43" t="s">
        <v>31</v>
      </c>
      <c r="D29" s="21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5"/>
        <v>0</v>
      </c>
      <c r="R29" s="33"/>
    </row>
    <row r="30" spans="2:18" ht="30.75" customHeight="1">
      <c r="B30" s="41"/>
      <c r="C30" s="51" t="s">
        <v>281</v>
      </c>
      <c r="D30" s="22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f t="shared" si="5"/>
        <v>0</v>
      </c>
      <c r="R30" s="33"/>
    </row>
    <row r="31" spans="2:18" ht="30.75" customHeight="1">
      <c r="B31" s="41" t="s">
        <v>247</v>
      </c>
      <c r="C31" s="52"/>
      <c r="D31" s="23">
        <v>392212</v>
      </c>
      <c r="E31" s="17">
        <v>158628</v>
      </c>
      <c r="F31" s="17">
        <v>139262</v>
      </c>
      <c r="G31" s="17">
        <v>62720</v>
      </c>
      <c r="H31" s="17">
        <v>72025</v>
      </c>
      <c r="I31" s="17">
        <v>116339</v>
      </c>
      <c r="J31" s="17">
        <v>42242</v>
      </c>
      <c r="K31" s="17">
        <v>64947</v>
      </c>
      <c r="L31" s="17">
        <v>88789</v>
      </c>
      <c r="M31" s="17">
        <v>23228</v>
      </c>
      <c r="N31" s="17">
        <v>30047</v>
      </c>
      <c r="O31" s="17">
        <v>45002</v>
      </c>
      <c r="P31" s="17">
        <v>106237</v>
      </c>
      <c r="Q31" s="17">
        <f t="shared" si="5"/>
        <v>1341678</v>
      </c>
      <c r="R31" s="33"/>
    </row>
    <row r="32" spans="2:18" ht="30.75" customHeight="1">
      <c r="B32" s="41"/>
      <c r="C32" s="53" t="s">
        <v>41</v>
      </c>
      <c r="D32" s="23">
        <f>D25+D31</f>
        <v>557087</v>
      </c>
      <c r="E32" s="17">
        <f aca="true" t="shared" si="6" ref="E32:P32">E25+E31</f>
        <v>242516</v>
      </c>
      <c r="F32" s="17">
        <f t="shared" si="6"/>
        <v>231696</v>
      </c>
      <c r="G32" s="17">
        <f t="shared" si="6"/>
        <v>84722</v>
      </c>
      <c r="H32" s="17">
        <f t="shared" si="6"/>
        <v>119590</v>
      </c>
      <c r="I32" s="17">
        <f t="shared" si="6"/>
        <v>190128</v>
      </c>
      <c r="J32" s="17">
        <f t="shared" si="6"/>
        <v>59994</v>
      </c>
      <c r="K32" s="17">
        <f t="shared" si="6"/>
        <v>91598</v>
      </c>
      <c r="L32" s="17">
        <f t="shared" si="6"/>
        <v>131883</v>
      </c>
      <c r="M32" s="17">
        <f t="shared" si="6"/>
        <v>31743</v>
      </c>
      <c r="N32" s="17">
        <f t="shared" si="6"/>
        <v>48101</v>
      </c>
      <c r="O32" s="17">
        <f t="shared" si="6"/>
        <v>62991</v>
      </c>
      <c r="P32" s="17">
        <f t="shared" si="6"/>
        <v>178907</v>
      </c>
      <c r="Q32" s="17">
        <f t="shared" si="5"/>
        <v>2030956</v>
      </c>
      <c r="R32" s="33"/>
    </row>
    <row r="33" spans="2:22" ht="30.75" customHeight="1">
      <c r="B33" s="33"/>
      <c r="C33" s="43" t="s">
        <v>42</v>
      </c>
      <c r="D33" s="27">
        <v>131</v>
      </c>
      <c r="E33" s="28">
        <v>52.7</v>
      </c>
      <c r="F33" s="28">
        <v>42</v>
      </c>
      <c r="G33" s="28">
        <v>31.4</v>
      </c>
      <c r="H33" s="28">
        <v>23.2</v>
      </c>
      <c r="I33" s="28">
        <v>16</v>
      </c>
      <c r="J33" s="28">
        <v>7.2</v>
      </c>
      <c r="K33" s="28">
        <v>8</v>
      </c>
      <c r="L33" s="28">
        <v>18</v>
      </c>
      <c r="M33" s="28">
        <v>3.2</v>
      </c>
      <c r="N33" s="28">
        <v>4</v>
      </c>
      <c r="O33" s="28">
        <v>5.6</v>
      </c>
      <c r="P33" s="28">
        <v>20</v>
      </c>
      <c r="Q33" s="29">
        <f t="shared" si="5"/>
        <v>362.29999999999995</v>
      </c>
      <c r="R33" s="66"/>
      <c r="S33" s="11"/>
      <c r="T33" s="11"/>
      <c r="U33" s="11"/>
      <c r="V33" s="11"/>
    </row>
    <row r="34" spans="2:22" ht="30.75" customHeight="1">
      <c r="B34" s="36" t="s">
        <v>43</v>
      </c>
      <c r="C34" s="43" t="s">
        <v>44</v>
      </c>
      <c r="D34" s="30">
        <v>558.9</v>
      </c>
      <c r="E34" s="31">
        <v>281.3</v>
      </c>
      <c r="F34" s="31">
        <v>260</v>
      </c>
      <c r="G34" s="31">
        <v>167.6</v>
      </c>
      <c r="H34" s="31">
        <v>126</v>
      </c>
      <c r="I34" s="31">
        <v>206</v>
      </c>
      <c r="J34" s="31">
        <v>67.3</v>
      </c>
      <c r="K34" s="31">
        <v>84</v>
      </c>
      <c r="L34" s="31">
        <v>139</v>
      </c>
      <c r="M34" s="31">
        <v>23</v>
      </c>
      <c r="N34" s="31">
        <v>36</v>
      </c>
      <c r="O34" s="31">
        <v>46</v>
      </c>
      <c r="P34" s="31">
        <v>197.4</v>
      </c>
      <c r="Q34" s="29">
        <f t="shared" si="5"/>
        <v>2192.5</v>
      </c>
      <c r="R34" s="66"/>
      <c r="S34" s="11"/>
      <c r="T34" s="11"/>
      <c r="U34" s="11"/>
      <c r="V34" s="11"/>
    </row>
    <row r="35" spans="2:22" ht="30.75" customHeight="1">
      <c r="B35" s="36" t="s">
        <v>45</v>
      </c>
      <c r="C35" s="43" t="s">
        <v>46</v>
      </c>
      <c r="D35" s="60">
        <v>21</v>
      </c>
      <c r="E35" s="31">
        <v>12</v>
      </c>
      <c r="F35" s="31">
        <v>10</v>
      </c>
      <c r="G35" s="31">
        <v>9.6</v>
      </c>
      <c r="H35" s="31">
        <v>6</v>
      </c>
      <c r="I35" s="31">
        <v>5</v>
      </c>
      <c r="J35" s="31">
        <v>3</v>
      </c>
      <c r="K35" s="31">
        <v>4</v>
      </c>
      <c r="L35" s="31">
        <v>8</v>
      </c>
      <c r="M35" s="31">
        <v>1</v>
      </c>
      <c r="N35" s="31">
        <v>2</v>
      </c>
      <c r="O35" s="31">
        <v>3</v>
      </c>
      <c r="P35" s="31">
        <v>6</v>
      </c>
      <c r="Q35" s="29">
        <f t="shared" si="5"/>
        <v>90.6</v>
      </c>
      <c r="R35" s="66"/>
      <c r="S35" s="11"/>
      <c r="T35" s="11"/>
      <c r="U35" s="11"/>
      <c r="V35" s="11"/>
    </row>
    <row r="36" spans="2:21" ht="30.75" customHeight="1">
      <c r="B36" s="36" t="s">
        <v>47</v>
      </c>
      <c r="C36" s="43" t="s">
        <v>48</v>
      </c>
      <c r="D36" s="60">
        <v>38.7</v>
      </c>
      <c r="E36" s="31">
        <v>38</v>
      </c>
      <c r="F36" s="31">
        <v>48</v>
      </c>
      <c r="G36" s="31">
        <v>38.6</v>
      </c>
      <c r="H36" s="31">
        <v>15</v>
      </c>
      <c r="I36" s="31">
        <v>23</v>
      </c>
      <c r="J36" s="31">
        <v>9.8</v>
      </c>
      <c r="K36" s="31">
        <v>16</v>
      </c>
      <c r="L36" s="31">
        <v>24</v>
      </c>
      <c r="M36" s="31">
        <v>5</v>
      </c>
      <c r="N36" s="31">
        <v>8.8</v>
      </c>
      <c r="O36" s="31">
        <v>14.6</v>
      </c>
      <c r="P36" s="31">
        <v>33.2</v>
      </c>
      <c r="Q36" s="29">
        <f t="shared" si="5"/>
        <v>312.70000000000005</v>
      </c>
      <c r="R36" s="66"/>
      <c r="S36" s="12"/>
      <c r="T36" s="12"/>
      <c r="U36" s="12"/>
    </row>
    <row r="37" spans="2:18" ht="30.75" customHeight="1">
      <c r="B37" s="36" t="s">
        <v>49</v>
      </c>
      <c r="C37" s="43" t="s">
        <v>50</v>
      </c>
      <c r="D37" s="60">
        <v>5</v>
      </c>
      <c r="E37" s="31">
        <v>27.3</v>
      </c>
      <c r="F37" s="31">
        <v>27</v>
      </c>
      <c r="G37" s="31">
        <v>2</v>
      </c>
      <c r="H37" s="31">
        <v>1.5</v>
      </c>
      <c r="I37" s="31">
        <v>3</v>
      </c>
      <c r="J37" s="31">
        <v>1</v>
      </c>
      <c r="K37" s="31">
        <v>1</v>
      </c>
      <c r="L37" s="31">
        <v>2</v>
      </c>
      <c r="M37" s="31">
        <v>1</v>
      </c>
      <c r="N37" s="31">
        <v>1</v>
      </c>
      <c r="O37" s="31">
        <v>1</v>
      </c>
      <c r="P37" s="31">
        <v>2</v>
      </c>
      <c r="Q37" s="29">
        <f t="shared" si="5"/>
        <v>74.8</v>
      </c>
      <c r="R37" s="33"/>
    </row>
    <row r="38" spans="2:18" ht="30.75" customHeight="1">
      <c r="B38" s="36" t="s">
        <v>51</v>
      </c>
      <c r="C38" s="43" t="s">
        <v>52</v>
      </c>
      <c r="D38" s="60">
        <v>35</v>
      </c>
      <c r="E38" s="31">
        <v>18.8</v>
      </c>
      <c r="F38" s="31">
        <v>14</v>
      </c>
      <c r="G38" s="31">
        <v>6</v>
      </c>
      <c r="H38" s="31">
        <v>7</v>
      </c>
      <c r="I38" s="31">
        <v>10</v>
      </c>
      <c r="J38" s="31">
        <v>3</v>
      </c>
      <c r="K38" s="31">
        <v>4</v>
      </c>
      <c r="L38" s="31">
        <v>7</v>
      </c>
      <c r="M38" s="31">
        <v>2</v>
      </c>
      <c r="N38" s="31">
        <v>2</v>
      </c>
      <c r="O38" s="31">
        <v>2</v>
      </c>
      <c r="P38" s="31">
        <v>7</v>
      </c>
      <c r="Q38" s="29">
        <f t="shared" si="5"/>
        <v>117.8</v>
      </c>
      <c r="R38" s="33"/>
    </row>
    <row r="39" spans="2:18" ht="30.75" customHeight="1">
      <c r="B39" s="36" t="s">
        <v>32</v>
      </c>
      <c r="C39" s="43" t="s">
        <v>53</v>
      </c>
      <c r="D39" s="60">
        <v>36.7</v>
      </c>
      <c r="E39" s="31">
        <v>26.5</v>
      </c>
      <c r="F39" s="31">
        <v>19</v>
      </c>
      <c r="G39" s="31">
        <v>9</v>
      </c>
      <c r="H39" s="31">
        <v>9</v>
      </c>
      <c r="I39" s="31">
        <v>12</v>
      </c>
      <c r="J39" s="31">
        <v>2</v>
      </c>
      <c r="K39" s="31">
        <v>3</v>
      </c>
      <c r="L39" s="31">
        <v>10</v>
      </c>
      <c r="M39" s="31">
        <v>2</v>
      </c>
      <c r="N39" s="31">
        <v>2</v>
      </c>
      <c r="O39" s="31">
        <v>2</v>
      </c>
      <c r="P39" s="31">
        <v>11</v>
      </c>
      <c r="Q39" s="29">
        <f t="shared" si="5"/>
        <v>144.2</v>
      </c>
      <c r="R39" s="33"/>
    </row>
    <row r="40" spans="2:18" ht="30.75" customHeight="1">
      <c r="B40" s="33"/>
      <c r="C40" s="43" t="s">
        <v>54</v>
      </c>
      <c r="D40" s="60">
        <v>47.3</v>
      </c>
      <c r="E40" s="31">
        <v>11.2</v>
      </c>
      <c r="F40" s="31">
        <v>34</v>
      </c>
      <c r="G40" s="31">
        <v>13.2</v>
      </c>
      <c r="H40" s="31">
        <v>31.3</v>
      </c>
      <c r="I40" s="31">
        <v>27</v>
      </c>
      <c r="J40" s="31">
        <v>7.4</v>
      </c>
      <c r="K40" s="31">
        <v>6</v>
      </c>
      <c r="L40" s="31">
        <v>18</v>
      </c>
      <c r="M40" s="31">
        <v>9.2</v>
      </c>
      <c r="N40" s="31">
        <v>6</v>
      </c>
      <c r="O40" s="31">
        <v>7</v>
      </c>
      <c r="P40" s="31">
        <v>25.8</v>
      </c>
      <c r="Q40" s="63">
        <f t="shared" si="5"/>
        <v>243.4</v>
      </c>
      <c r="R40" s="33"/>
    </row>
    <row r="41" spans="2:18" ht="30.75" customHeight="1">
      <c r="B41" s="41"/>
      <c r="C41" s="46" t="s">
        <v>12</v>
      </c>
      <c r="D41" s="61">
        <f>SUM(D33:D40)</f>
        <v>873.6</v>
      </c>
      <c r="E41" s="62">
        <f aca="true" t="shared" si="7" ref="E41:P41">SUM(E33:E40)</f>
        <v>467.8</v>
      </c>
      <c r="F41" s="62">
        <f t="shared" si="7"/>
        <v>454</v>
      </c>
      <c r="G41" s="62">
        <f t="shared" si="7"/>
        <v>277.4</v>
      </c>
      <c r="H41" s="62">
        <f t="shared" si="7"/>
        <v>219</v>
      </c>
      <c r="I41" s="62">
        <f t="shared" si="7"/>
        <v>302</v>
      </c>
      <c r="J41" s="62">
        <f t="shared" si="7"/>
        <v>100.7</v>
      </c>
      <c r="K41" s="62">
        <f t="shared" si="7"/>
        <v>126</v>
      </c>
      <c r="L41" s="62">
        <f t="shared" si="7"/>
        <v>226</v>
      </c>
      <c r="M41" s="62">
        <f t="shared" si="7"/>
        <v>46.400000000000006</v>
      </c>
      <c r="N41" s="62">
        <f t="shared" si="7"/>
        <v>61.8</v>
      </c>
      <c r="O41" s="62">
        <f t="shared" si="7"/>
        <v>81.2</v>
      </c>
      <c r="P41" s="62">
        <f t="shared" si="7"/>
        <v>302.40000000000003</v>
      </c>
      <c r="Q41" s="32">
        <f>SUM(D41:P41)</f>
        <v>3538.3</v>
      </c>
      <c r="R41" s="33"/>
    </row>
    <row r="42" spans="2:18" ht="30.75" customHeight="1" thickBot="1">
      <c r="B42" s="38" t="s">
        <v>55</v>
      </c>
      <c r="C42" s="39"/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2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6">
        <f t="shared" si="5"/>
        <v>5</v>
      </c>
      <c r="R42" s="33"/>
    </row>
    <row r="44" spans="4:17" ht="17.25"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6"/>
    </row>
    <row r="47" spans="18:19" ht="17.25">
      <c r="R47" s="68"/>
      <c r="S47" s="13"/>
    </row>
  </sheetData>
  <mergeCells count="1">
    <mergeCell ref="G6:G7"/>
  </mergeCells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2"/>
  <sheetViews>
    <sheetView showGridLines="0" showZeros="0" view="pageBreakPreview" zoomScale="65" zoomScaleNormal="65" zoomScaleSheetLayoutView="6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0.66015625" style="70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6" t="s">
        <v>0</v>
      </c>
    </row>
    <row r="2" ht="22.5" customHeight="1"/>
    <row r="3" spans="2:19" ht="22.5" customHeight="1" thickBot="1">
      <c r="B3" s="71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7" t="s">
        <v>57</v>
      </c>
    </row>
    <row r="4" spans="2:20" ht="22.5" customHeight="1">
      <c r="B4" s="72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2"/>
    </row>
    <row r="5" spans="2:20" ht="22.5" customHeight="1">
      <c r="B5" s="72"/>
      <c r="E5" s="70" t="s">
        <v>58</v>
      </c>
      <c r="F5" s="75" t="s">
        <v>3</v>
      </c>
      <c r="G5" s="76" t="s">
        <v>4</v>
      </c>
      <c r="H5" s="76" t="s">
        <v>5</v>
      </c>
      <c r="I5" s="76" t="s">
        <v>6</v>
      </c>
      <c r="J5" s="76" t="s">
        <v>7</v>
      </c>
      <c r="K5" s="76" t="s">
        <v>8</v>
      </c>
      <c r="L5" s="76" t="s">
        <v>9</v>
      </c>
      <c r="M5" s="76" t="s">
        <v>240</v>
      </c>
      <c r="N5" s="76" t="s">
        <v>241</v>
      </c>
      <c r="O5" s="76" t="s">
        <v>242</v>
      </c>
      <c r="P5" s="76" t="s">
        <v>10</v>
      </c>
      <c r="Q5" s="76" t="s">
        <v>243</v>
      </c>
      <c r="R5" s="76" t="s">
        <v>11</v>
      </c>
      <c r="S5" s="74"/>
      <c r="T5" s="72"/>
    </row>
    <row r="6" spans="2:20" ht="22.5" customHeight="1">
      <c r="B6" s="72"/>
      <c r="F6" s="73"/>
      <c r="G6" s="74"/>
      <c r="H6" s="74"/>
      <c r="I6" s="462" t="s">
        <v>494</v>
      </c>
      <c r="J6" s="74"/>
      <c r="K6" s="74"/>
      <c r="L6" s="74"/>
      <c r="M6" s="74"/>
      <c r="N6" s="74"/>
      <c r="O6" s="74"/>
      <c r="P6" s="74"/>
      <c r="Q6" s="74"/>
      <c r="R6" s="74"/>
      <c r="S6" s="76" t="s">
        <v>12</v>
      </c>
      <c r="T6" s="72"/>
    </row>
    <row r="7" spans="2:20" ht="22.5" customHeight="1">
      <c r="B7" s="72"/>
      <c r="C7" s="70" t="s">
        <v>59</v>
      </c>
      <c r="F7" s="73" t="s">
        <v>325</v>
      </c>
      <c r="G7" s="74" t="s">
        <v>325</v>
      </c>
      <c r="H7" s="74"/>
      <c r="I7" s="463"/>
      <c r="J7" s="74"/>
      <c r="K7" s="74"/>
      <c r="L7" s="74" t="s">
        <v>325</v>
      </c>
      <c r="M7" s="77" t="s">
        <v>326</v>
      </c>
      <c r="N7" s="74" t="s">
        <v>324</v>
      </c>
      <c r="O7" s="74" t="s">
        <v>327</v>
      </c>
      <c r="P7" s="74" t="s">
        <v>327</v>
      </c>
      <c r="Q7" s="74" t="s">
        <v>328</v>
      </c>
      <c r="R7" s="74"/>
      <c r="S7" s="74"/>
      <c r="T7" s="72"/>
    </row>
    <row r="8" spans="2:20" ht="22.5" customHeight="1" thickBot="1">
      <c r="B8" s="78"/>
      <c r="C8" s="71"/>
      <c r="D8" s="71"/>
      <c r="E8" s="71"/>
      <c r="F8" s="79" t="s">
        <v>340</v>
      </c>
      <c r="G8" s="80" t="s">
        <v>341</v>
      </c>
      <c r="H8" s="80" t="s">
        <v>342</v>
      </c>
      <c r="I8" s="37" t="s">
        <v>493</v>
      </c>
      <c r="J8" s="80" t="s">
        <v>343</v>
      </c>
      <c r="K8" s="80" t="s">
        <v>344</v>
      </c>
      <c r="L8" s="80" t="s">
        <v>345</v>
      </c>
      <c r="M8" s="80" t="s">
        <v>346</v>
      </c>
      <c r="N8" s="81" t="s">
        <v>339</v>
      </c>
      <c r="O8" s="80" t="s">
        <v>347</v>
      </c>
      <c r="P8" s="80" t="s">
        <v>348</v>
      </c>
      <c r="Q8" s="80" t="s">
        <v>349</v>
      </c>
      <c r="R8" s="80" t="s">
        <v>350</v>
      </c>
      <c r="S8" s="80"/>
      <c r="T8" s="72"/>
    </row>
    <row r="9" spans="2:20" ht="22.5" customHeight="1">
      <c r="B9" s="82" t="s">
        <v>286</v>
      </c>
      <c r="C9" s="83"/>
      <c r="D9" s="83"/>
      <c r="E9" s="83"/>
      <c r="F9" s="84">
        <f>F10+F16+F38</f>
        <v>15635894</v>
      </c>
      <c r="G9" s="85">
        <f aca="true" t="shared" si="0" ref="G9:R9">G10+G16+G38</f>
        <v>5975385</v>
      </c>
      <c r="H9" s="85">
        <f t="shared" si="0"/>
        <v>6631688</v>
      </c>
      <c r="I9" s="85">
        <f t="shared" si="0"/>
        <v>1745028</v>
      </c>
      <c r="J9" s="85">
        <f t="shared" si="0"/>
        <v>3719745</v>
      </c>
      <c r="K9" s="85">
        <f t="shared" si="0"/>
        <v>4022994</v>
      </c>
      <c r="L9" s="85">
        <f t="shared" si="0"/>
        <v>1480553</v>
      </c>
      <c r="M9" s="85">
        <f t="shared" si="0"/>
        <v>1478952</v>
      </c>
      <c r="N9" s="85">
        <f t="shared" si="0"/>
        <v>3079309</v>
      </c>
      <c r="O9" s="85">
        <f t="shared" si="0"/>
        <v>528840</v>
      </c>
      <c r="P9" s="85">
        <f t="shared" si="0"/>
        <v>650296</v>
      </c>
      <c r="Q9" s="85">
        <f t="shared" si="0"/>
        <v>833261</v>
      </c>
      <c r="R9" s="85">
        <f t="shared" si="0"/>
        <v>4169383</v>
      </c>
      <c r="S9" s="86">
        <f aca="true" t="shared" si="1" ref="S9:S48">SUM(F9:R9)</f>
        <v>49951328</v>
      </c>
      <c r="T9" s="72"/>
    </row>
    <row r="10" spans="2:20" ht="22.5" customHeight="1">
      <c r="B10" s="72"/>
      <c r="C10" s="87" t="s">
        <v>287</v>
      </c>
      <c r="D10" s="88"/>
      <c r="E10" s="88"/>
      <c r="F10" s="89">
        <f>F11+F12+F13</f>
        <v>15112850</v>
      </c>
      <c r="G10" s="90">
        <f aca="true" t="shared" si="2" ref="G10:R10">G11+G12+G13</f>
        <v>5494892</v>
      </c>
      <c r="H10" s="90">
        <f t="shared" si="2"/>
        <v>6040062</v>
      </c>
      <c r="I10" s="90">
        <f t="shared" si="2"/>
        <v>1413010</v>
      </c>
      <c r="J10" s="90">
        <f t="shared" si="2"/>
        <v>2923539</v>
      </c>
      <c r="K10" s="90">
        <f t="shared" si="2"/>
        <v>3853696</v>
      </c>
      <c r="L10" s="90">
        <f t="shared" si="2"/>
        <v>1229004</v>
      </c>
      <c r="M10" s="90">
        <f t="shared" si="2"/>
        <v>1002723</v>
      </c>
      <c r="N10" s="90">
        <f t="shared" si="2"/>
        <v>2988023</v>
      </c>
      <c r="O10" s="90">
        <f t="shared" si="2"/>
        <v>343371</v>
      </c>
      <c r="P10" s="90">
        <f t="shared" si="2"/>
        <v>568470</v>
      </c>
      <c r="Q10" s="90">
        <f t="shared" si="2"/>
        <v>701424</v>
      </c>
      <c r="R10" s="90">
        <f t="shared" si="2"/>
        <v>3377808</v>
      </c>
      <c r="S10" s="91">
        <f t="shared" si="1"/>
        <v>45048872</v>
      </c>
      <c r="T10" s="72"/>
    </row>
    <row r="11" spans="2:20" ht="22.5" customHeight="1">
      <c r="B11" s="72"/>
      <c r="D11" s="92" t="s">
        <v>288</v>
      </c>
      <c r="E11" s="88"/>
      <c r="F11" s="89">
        <v>9675189</v>
      </c>
      <c r="G11" s="90">
        <v>3473334</v>
      </c>
      <c r="H11" s="90">
        <v>3939594</v>
      </c>
      <c r="I11" s="90">
        <v>886224</v>
      </c>
      <c r="J11" s="90">
        <v>1848244</v>
      </c>
      <c r="K11" s="90">
        <v>2257836</v>
      </c>
      <c r="L11" s="90">
        <v>508925</v>
      </c>
      <c r="M11" s="90">
        <v>563956</v>
      </c>
      <c r="N11" s="90">
        <v>1568713</v>
      </c>
      <c r="O11" s="90">
        <v>151297</v>
      </c>
      <c r="P11" s="90">
        <v>369987</v>
      </c>
      <c r="Q11" s="90">
        <v>316547</v>
      </c>
      <c r="R11" s="90">
        <v>2109175</v>
      </c>
      <c r="S11" s="91">
        <f t="shared" si="1"/>
        <v>27669021</v>
      </c>
      <c r="T11" s="72"/>
    </row>
    <row r="12" spans="2:20" ht="22.5" customHeight="1">
      <c r="B12" s="72"/>
      <c r="D12" s="92" t="s">
        <v>289</v>
      </c>
      <c r="E12" s="88"/>
      <c r="F12" s="89">
        <v>5059692</v>
      </c>
      <c r="G12" s="90">
        <v>1676491</v>
      </c>
      <c r="H12" s="90">
        <v>1870165</v>
      </c>
      <c r="I12" s="90">
        <v>488624</v>
      </c>
      <c r="J12" s="90">
        <v>743961</v>
      </c>
      <c r="K12" s="90">
        <v>1398084</v>
      </c>
      <c r="L12" s="90">
        <v>635622</v>
      </c>
      <c r="M12" s="90">
        <v>366209</v>
      </c>
      <c r="N12" s="90">
        <v>1036969</v>
      </c>
      <c r="O12" s="90">
        <v>153455</v>
      </c>
      <c r="P12" s="90">
        <v>136125</v>
      </c>
      <c r="Q12" s="90">
        <v>252066</v>
      </c>
      <c r="R12" s="90">
        <v>1100290</v>
      </c>
      <c r="S12" s="91">
        <f t="shared" si="1"/>
        <v>14917753</v>
      </c>
      <c r="T12" s="72"/>
    </row>
    <row r="13" spans="2:20" ht="22.5" customHeight="1">
      <c r="B13" s="72"/>
      <c r="D13" s="87" t="s">
        <v>290</v>
      </c>
      <c r="E13" s="88"/>
      <c r="F13" s="89">
        <f>F14+F15</f>
        <v>377969</v>
      </c>
      <c r="G13" s="90">
        <f aca="true" t="shared" si="3" ref="G13:R13">G14+G15</f>
        <v>345067</v>
      </c>
      <c r="H13" s="90">
        <f t="shared" si="3"/>
        <v>230303</v>
      </c>
      <c r="I13" s="90">
        <f t="shared" si="3"/>
        <v>38162</v>
      </c>
      <c r="J13" s="90">
        <f t="shared" si="3"/>
        <v>331334</v>
      </c>
      <c r="K13" s="90">
        <f t="shared" si="3"/>
        <v>197776</v>
      </c>
      <c r="L13" s="90">
        <f t="shared" si="3"/>
        <v>84457</v>
      </c>
      <c r="M13" s="90">
        <f t="shared" si="3"/>
        <v>72558</v>
      </c>
      <c r="N13" s="90">
        <f t="shared" si="3"/>
        <v>382341</v>
      </c>
      <c r="O13" s="90">
        <f t="shared" si="3"/>
        <v>38619</v>
      </c>
      <c r="P13" s="90">
        <f t="shared" si="3"/>
        <v>62358</v>
      </c>
      <c r="Q13" s="90">
        <f t="shared" si="3"/>
        <v>132811</v>
      </c>
      <c r="R13" s="90">
        <f t="shared" si="3"/>
        <v>168343</v>
      </c>
      <c r="S13" s="91">
        <f t="shared" si="1"/>
        <v>2462098</v>
      </c>
      <c r="T13" s="72"/>
    </row>
    <row r="14" spans="2:20" ht="22.5" customHeight="1">
      <c r="B14" s="72"/>
      <c r="E14" s="92" t="s">
        <v>291</v>
      </c>
      <c r="F14" s="89">
        <v>121574</v>
      </c>
      <c r="G14" s="90">
        <v>0</v>
      </c>
      <c r="H14" s="90">
        <v>85061</v>
      </c>
      <c r="I14" s="90">
        <v>0</v>
      </c>
      <c r="J14" s="90">
        <v>260308</v>
      </c>
      <c r="K14" s="90">
        <v>59119</v>
      </c>
      <c r="L14" s="90">
        <v>51898</v>
      </c>
      <c r="M14" s="90">
        <v>37991</v>
      </c>
      <c r="N14" s="90">
        <v>189287</v>
      </c>
      <c r="O14" s="90">
        <v>0</v>
      </c>
      <c r="P14" s="90">
        <v>4153</v>
      </c>
      <c r="Q14" s="90">
        <v>81566</v>
      </c>
      <c r="R14" s="90">
        <v>44019</v>
      </c>
      <c r="S14" s="91">
        <f t="shared" si="1"/>
        <v>934976</v>
      </c>
      <c r="T14" s="72"/>
    </row>
    <row r="15" spans="2:20" ht="22.5" customHeight="1">
      <c r="B15" s="72"/>
      <c r="C15" s="83"/>
      <c r="D15" s="83"/>
      <c r="E15" s="93" t="s">
        <v>292</v>
      </c>
      <c r="F15" s="94">
        <v>256395</v>
      </c>
      <c r="G15" s="95">
        <v>345067</v>
      </c>
      <c r="H15" s="95">
        <v>145242</v>
      </c>
      <c r="I15" s="95">
        <v>38162</v>
      </c>
      <c r="J15" s="95">
        <v>71026</v>
      </c>
      <c r="K15" s="95">
        <v>138657</v>
      </c>
      <c r="L15" s="95">
        <v>32559</v>
      </c>
      <c r="M15" s="95">
        <v>34567</v>
      </c>
      <c r="N15" s="95">
        <v>193054</v>
      </c>
      <c r="O15" s="95">
        <v>38619</v>
      </c>
      <c r="P15" s="95">
        <v>58205</v>
      </c>
      <c r="Q15" s="95">
        <v>51245</v>
      </c>
      <c r="R15" s="95">
        <v>124324</v>
      </c>
      <c r="S15" s="86">
        <f t="shared" si="1"/>
        <v>1527122</v>
      </c>
      <c r="T15" s="72"/>
    </row>
    <row r="16" spans="2:20" ht="22.5" customHeight="1">
      <c r="B16" s="72"/>
      <c r="C16" s="87" t="s">
        <v>293</v>
      </c>
      <c r="D16" s="88"/>
      <c r="E16" s="88"/>
      <c r="F16" s="96">
        <f>F17+F18+F19+F20+F21+F22+F23</f>
        <v>522831</v>
      </c>
      <c r="G16" s="90">
        <f aca="true" t="shared" si="4" ref="G16:R16">G17+G18+G19+G20+G21+G22+G23</f>
        <v>480493</v>
      </c>
      <c r="H16" s="90">
        <f t="shared" si="4"/>
        <v>591626</v>
      </c>
      <c r="I16" s="90">
        <f t="shared" si="4"/>
        <v>332018</v>
      </c>
      <c r="J16" s="90">
        <f t="shared" si="4"/>
        <v>789317</v>
      </c>
      <c r="K16" s="90">
        <f t="shared" si="4"/>
        <v>169297</v>
      </c>
      <c r="L16" s="90">
        <f t="shared" si="4"/>
        <v>251549</v>
      </c>
      <c r="M16" s="90">
        <f t="shared" si="4"/>
        <v>476229</v>
      </c>
      <c r="N16" s="90">
        <f t="shared" si="4"/>
        <v>87356</v>
      </c>
      <c r="O16" s="90">
        <f t="shared" si="4"/>
        <v>183946</v>
      </c>
      <c r="P16" s="90">
        <f t="shared" si="4"/>
        <v>81826</v>
      </c>
      <c r="Q16" s="90">
        <f t="shared" si="4"/>
        <v>131837</v>
      </c>
      <c r="R16" s="90">
        <f t="shared" si="4"/>
        <v>791575</v>
      </c>
      <c r="S16" s="91">
        <f t="shared" si="1"/>
        <v>4889900</v>
      </c>
      <c r="T16" s="72"/>
    </row>
    <row r="17" spans="2:20" ht="22.5" customHeight="1">
      <c r="B17" s="72"/>
      <c r="D17" s="88" t="s">
        <v>62</v>
      </c>
      <c r="E17" s="88"/>
      <c r="F17" s="444">
        <v>1774</v>
      </c>
      <c r="G17" s="445">
        <v>0</v>
      </c>
      <c r="H17" s="445">
        <v>53</v>
      </c>
      <c r="I17" s="445">
        <v>4</v>
      </c>
      <c r="J17" s="445">
        <v>48</v>
      </c>
      <c r="K17" s="445">
        <v>91</v>
      </c>
      <c r="L17" s="445">
        <v>5211</v>
      </c>
      <c r="M17" s="445">
        <v>0</v>
      </c>
      <c r="N17" s="445">
        <v>1</v>
      </c>
      <c r="O17" s="445">
        <v>376</v>
      </c>
      <c r="P17" s="445">
        <v>74</v>
      </c>
      <c r="Q17" s="445">
        <v>2</v>
      </c>
      <c r="R17" s="445">
        <v>6058</v>
      </c>
      <c r="S17" s="91">
        <f t="shared" si="1"/>
        <v>13692</v>
      </c>
      <c r="T17" s="72"/>
    </row>
    <row r="18" spans="2:20" ht="22.5" customHeight="1">
      <c r="B18" s="72"/>
      <c r="D18" s="88" t="s">
        <v>63</v>
      </c>
      <c r="E18" s="88"/>
      <c r="F18" s="444">
        <v>0</v>
      </c>
      <c r="G18" s="445">
        <v>0</v>
      </c>
      <c r="H18" s="445">
        <v>0</v>
      </c>
      <c r="I18" s="445">
        <v>0</v>
      </c>
      <c r="J18" s="445">
        <v>17734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91">
        <f t="shared" si="1"/>
        <v>17734</v>
      </c>
      <c r="T18" s="72"/>
    </row>
    <row r="19" spans="2:20" ht="22.5" customHeight="1">
      <c r="B19" s="72"/>
      <c r="D19" s="88" t="s">
        <v>64</v>
      </c>
      <c r="E19" s="88"/>
      <c r="F19" s="444">
        <v>30690</v>
      </c>
      <c r="G19" s="445">
        <v>5888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91">
        <f t="shared" si="1"/>
        <v>36578</v>
      </c>
      <c r="T19" s="72"/>
    </row>
    <row r="20" spans="2:20" ht="22.5" customHeight="1">
      <c r="B20" s="72"/>
      <c r="D20" s="88" t="s">
        <v>65</v>
      </c>
      <c r="E20" s="88"/>
      <c r="F20" s="444">
        <v>1336</v>
      </c>
      <c r="G20" s="445">
        <v>586</v>
      </c>
      <c r="H20" s="445">
        <v>12345</v>
      </c>
      <c r="I20" s="445">
        <v>0</v>
      </c>
      <c r="J20" s="445">
        <v>8032</v>
      </c>
      <c r="K20" s="445">
        <v>2272</v>
      </c>
      <c r="L20" s="445">
        <v>0</v>
      </c>
      <c r="M20" s="445">
        <v>0</v>
      </c>
      <c r="N20" s="445">
        <v>3045</v>
      </c>
      <c r="O20" s="445">
        <v>0</v>
      </c>
      <c r="P20" s="445">
        <v>0</v>
      </c>
      <c r="Q20" s="445">
        <v>0</v>
      </c>
      <c r="R20" s="445">
        <v>43522</v>
      </c>
      <c r="S20" s="91">
        <f t="shared" si="1"/>
        <v>71138</v>
      </c>
      <c r="T20" s="72"/>
    </row>
    <row r="21" spans="2:20" ht="22.5" customHeight="1">
      <c r="B21" s="72"/>
      <c r="D21" s="88" t="s">
        <v>66</v>
      </c>
      <c r="E21" s="88"/>
      <c r="F21" s="444">
        <v>367494</v>
      </c>
      <c r="G21" s="445">
        <v>85973</v>
      </c>
      <c r="H21" s="445">
        <v>244409</v>
      </c>
      <c r="I21" s="445">
        <v>79965</v>
      </c>
      <c r="J21" s="445">
        <v>85541</v>
      </c>
      <c r="K21" s="445">
        <v>0</v>
      </c>
      <c r="L21" s="445">
        <v>201732</v>
      </c>
      <c r="M21" s="445">
        <v>32564</v>
      </c>
      <c r="N21" s="445">
        <v>42005</v>
      </c>
      <c r="O21" s="445">
        <v>170463</v>
      </c>
      <c r="P21" s="445">
        <v>3704</v>
      </c>
      <c r="Q21" s="445">
        <v>8434</v>
      </c>
      <c r="R21" s="445">
        <v>115443</v>
      </c>
      <c r="S21" s="91">
        <f t="shared" si="1"/>
        <v>1437727</v>
      </c>
      <c r="T21" s="72"/>
    </row>
    <row r="22" spans="2:20" ht="22.5" customHeight="1">
      <c r="B22" s="72"/>
      <c r="D22" s="88" t="s">
        <v>67</v>
      </c>
      <c r="E22" s="88"/>
      <c r="F22" s="444">
        <v>19029</v>
      </c>
      <c r="G22" s="445">
        <v>321806</v>
      </c>
      <c r="H22" s="445">
        <v>262827</v>
      </c>
      <c r="I22" s="445">
        <v>236543</v>
      </c>
      <c r="J22" s="445">
        <v>446745</v>
      </c>
      <c r="K22" s="445">
        <v>102363</v>
      </c>
      <c r="L22" s="445">
        <v>27250</v>
      </c>
      <c r="M22" s="445">
        <v>420362</v>
      </c>
      <c r="N22" s="445">
        <v>24957</v>
      </c>
      <c r="O22" s="445">
        <v>10067</v>
      </c>
      <c r="P22" s="445">
        <v>72901</v>
      </c>
      <c r="Q22" s="445">
        <v>116581</v>
      </c>
      <c r="R22" s="445">
        <v>48242</v>
      </c>
      <c r="S22" s="91">
        <f t="shared" si="1"/>
        <v>2109673</v>
      </c>
      <c r="T22" s="72"/>
    </row>
    <row r="23" spans="2:20" ht="22.5" customHeight="1">
      <c r="B23" s="97"/>
      <c r="C23" s="83"/>
      <c r="D23" s="83" t="s">
        <v>68</v>
      </c>
      <c r="E23" s="83"/>
      <c r="F23" s="446">
        <v>102508</v>
      </c>
      <c r="G23" s="447">
        <v>66240</v>
      </c>
      <c r="H23" s="447">
        <v>71992</v>
      </c>
      <c r="I23" s="447">
        <v>15506</v>
      </c>
      <c r="J23" s="447">
        <v>231217</v>
      </c>
      <c r="K23" s="447">
        <v>64571</v>
      </c>
      <c r="L23" s="447">
        <v>17356</v>
      </c>
      <c r="M23" s="447">
        <v>23303</v>
      </c>
      <c r="N23" s="447">
        <v>17348</v>
      </c>
      <c r="O23" s="447">
        <v>3040</v>
      </c>
      <c r="P23" s="447">
        <v>5147</v>
      </c>
      <c r="Q23" s="447">
        <v>6820</v>
      </c>
      <c r="R23" s="447">
        <v>578310</v>
      </c>
      <c r="S23" s="86">
        <f t="shared" si="1"/>
        <v>1203358</v>
      </c>
      <c r="T23" s="72"/>
    </row>
    <row r="24" spans="2:20" ht="22.5" customHeight="1">
      <c r="B24" s="82" t="s">
        <v>294</v>
      </c>
      <c r="C24" s="83"/>
      <c r="D24" s="83"/>
      <c r="E24" s="83"/>
      <c r="F24" s="94">
        <f>F25+F30+F42</f>
        <v>15771084</v>
      </c>
      <c r="G24" s="95">
        <f aca="true" t="shared" si="5" ref="G24:Q24">G25+G30+G42</f>
        <v>6214002</v>
      </c>
      <c r="H24" s="95">
        <f t="shared" si="5"/>
        <v>6625640</v>
      </c>
      <c r="I24" s="95">
        <f t="shared" si="5"/>
        <v>1809981</v>
      </c>
      <c r="J24" s="95">
        <f t="shared" si="5"/>
        <v>4276597</v>
      </c>
      <c r="K24" s="95">
        <f t="shared" si="5"/>
        <v>4388741</v>
      </c>
      <c r="L24" s="95">
        <f t="shared" si="5"/>
        <v>1553362</v>
      </c>
      <c r="M24" s="95">
        <f t="shared" si="5"/>
        <v>1505702</v>
      </c>
      <c r="N24" s="95">
        <f t="shared" si="5"/>
        <v>3393481</v>
      </c>
      <c r="O24" s="95">
        <f t="shared" si="5"/>
        <v>468608</v>
      </c>
      <c r="P24" s="95">
        <f t="shared" si="5"/>
        <v>623151</v>
      </c>
      <c r="Q24" s="95">
        <f t="shared" si="5"/>
        <v>865532</v>
      </c>
      <c r="R24" s="95">
        <f>R25+R30+R42</f>
        <v>4261891</v>
      </c>
      <c r="S24" s="86">
        <f>SUM(F24:R24)</f>
        <v>51757772</v>
      </c>
      <c r="T24" s="72"/>
    </row>
    <row r="25" spans="2:20" ht="22.5" customHeight="1">
      <c r="B25" s="72"/>
      <c r="C25" s="87" t="s">
        <v>295</v>
      </c>
      <c r="D25" s="88"/>
      <c r="E25" s="88"/>
      <c r="F25" s="89">
        <f>F26+F27+F28+F29</f>
        <v>15195599</v>
      </c>
      <c r="G25" s="90">
        <f aca="true" t="shared" si="6" ref="G25:R25">G26+G27+G28+G29</f>
        <v>5956540</v>
      </c>
      <c r="H25" s="90">
        <f t="shared" si="6"/>
        <v>6141797</v>
      </c>
      <c r="I25" s="90">
        <f t="shared" si="6"/>
        <v>1766327</v>
      </c>
      <c r="J25" s="90">
        <f t="shared" si="6"/>
        <v>3539209</v>
      </c>
      <c r="K25" s="90">
        <f t="shared" si="6"/>
        <v>4165584</v>
      </c>
      <c r="L25" s="90">
        <f t="shared" si="6"/>
        <v>1478729</v>
      </c>
      <c r="M25" s="90">
        <f t="shared" si="6"/>
        <v>1472966</v>
      </c>
      <c r="N25" s="90">
        <f t="shared" si="6"/>
        <v>3277037</v>
      </c>
      <c r="O25" s="90">
        <f t="shared" si="6"/>
        <v>458651</v>
      </c>
      <c r="P25" s="90">
        <f t="shared" si="6"/>
        <v>593959</v>
      </c>
      <c r="Q25" s="90">
        <f t="shared" si="6"/>
        <v>849377</v>
      </c>
      <c r="R25" s="90">
        <f t="shared" si="6"/>
        <v>3640095</v>
      </c>
      <c r="S25" s="91">
        <f t="shared" si="1"/>
        <v>48535870</v>
      </c>
      <c r="T25" s="72"/>
    </row>
    <row r="26" spans="2:20" ht="22.5" customHeight="1">
      <c r="B26" s="72"/>
      <c r="D26" s="88" t="s">
        <v>69</v>
      </c>
      <c r="E26" s="88"/>
      <c r="F26" s="89">
        <v>6767082</v>
      </c>
      <c r="G26" s="90">
        <v>3548833</v>
      </c>
      <c r="H26" s="90">
        <v>2892503</v>
      </c>
      <c r="I26" s="90">
        <v>1018893</v>
      </c>
      <c r="J26" s="90">
        <v>1782091</v>
      </c>
      <c r="K26" s="90">
        <v>2193069</v>
      </c>
      <c r="L26" s="90">
        <v>710591</v>
      </c>
      <c r="M26" s="90">
        <v>879604</v>
      </c>
      <c r="N26" s="90">
        <v>1784701</v>
      </c>
      <c r="O26" s="90">
        <v>314259</v>
      </c>
      <c r="P26" s="90">
        <v>347900</v>
      </c>
      <c r="Q26" s="90">
        <v>449018</v>
      </c>
      <c r="R26" s="90">
        <v>1963538</v>
      </c>
      <c r="S26" s="91">
        <f t="shared" si="1"/>
        <v>24652082</v>
      </c>
      <c r="T26" s="72"/>
    </row>
    <row r="27" spans="2:20" ht="22.5" customHeight="1">
      <c r="B27" s="72"/>
      <c r="D27" s="88" t="s">
        <v>70</v>
      </c>
      <c r="E27" s="88"/>
      <c r="F27" s="89">
        <v>4649676</v>
      </c>
      <c r="G27" s="90">
        <v>1293567</v>
      </c>
      <c r="H27" s="90">
        <v>1689514</v>
      </c>
      <c r="I27" s="90">
        <v>375799</v>
      </c>
      <c r="J27" s="90">
        <v>588091</v>
      </c>
      <c r="K27" s="90">
        <v>1021203</v>
      </c>
      <c r="L27" s="90">
        <v>344328</v>
      </c>
      <c r="M27" s="90">
        <v>191847</v>
      </c>
      <c r="N27" s="90">
        <v>728269</v>
      </c>
      <c r="O27" s="90">
        <v>61572</v>
      </c>
      <c r="P27" s="90">
        <v>72307</v>
      </c>
      <c r="Q27" s="90">
        <v>78688</v>
      </c>
      <c r="R27" s="90">
        <v>710839</v>
      </c>
      <c r="S27" s="91">
        <f t="shared" si="1"/>
        <v>11805700</v>
      </c>
      <c r="T27" s="72"/>
    </row>
    <row r="28" spans="2:20" ht="22.5" customHeight="1">
      <c r="B28" s="72"/>
      <c r="D28" s="88" t="s">
        <v>71</v>
      </c>
      <c r="E28" s="88"/>
      <c r="F28" s="89">
        <v>889688</v>
      </c>
      <c r="G28" s="90">
        <v>261323</v>
      </c>
      <c r="H28" s="90">
        <v>460982</v>
      </c>
      <c r="I28" s="90">
        <v>56923</v>
      </c>
      <c r="J28" s="90">
        <v>454980</v>
      </c>
      <c r="K28" s="90">
        <v>269982</v>
      </c>
      <c r="L28" s="90">
        <v>108759</v>
      </c>
      <c r="M28" s="90">
        <v>129344</v>
      </c>
      <c r="N28" s="90">
        <v>157906</v>
      </c>
      <c r="O28" s="90">
        <v>23112</v>
      </c>
      <c r="P28" s="90">
        <v>42921</v>
      </c>
      <c r="Q28" s="90">
        <v>44146</v>
      </c>
      <c r="R28" s="90">
        <v>262831</v>
      </c>
      <c r="S28" s="91">
        <f t="shared" si="1"/>
        <v>3162897</v>
      </c>
      <c r="T28" s="72"/>
    </row>
    <row r="29" spans="2:20" ht="22.5" customHeight="1">
      <c r="B29" s="72"/>
      <c r="C29" s="83"/>
      <c r="D29" s="83" t="s">
        <v>72</v>
      </c>
      <c r="E29" s="83"/>
      <c r="F29" s="94">
        <v>2889153</v>
      </c>
      <c r="G29" s="95">
        <v>852817</v>
      </c>
      <c r="H29" s="95">
        <v>1098798</v>
      </c>
      <c r="I29" s="95">
        <v>314712</v>
      </c>
      <c r="J29" s="95">
        <v>714047</v>
      </c>
      <c r="K29" s="95">
        <v>681330</v>
      </c>
      <c r="L29" s="95">
        <v>315051</v>
      </c>
      <c r="M29" s="95">
        <v>272171</v>
      </c>
      <c r="N29" s="95">
        <v>606161</v>
      </c>
      <c r="O29" s="95">
        <v>59708</v>
      </c>
      <c r="P29" s="95">
        <v>130831</v>
      </c>
      <c r="Q29" s="95">
        <v>277525</v>
      </c>
      <c r="R29" s="95">
        <v>702887</v>
      </c>
      <c r="S29" s="86">
        <f t="shared" si="1"/>
        <v>8915191</v>
      </c>
      <c r="T29" s="72"/>
    </row>
    <row r="30" spans="2:20" ht="22.5" customHeight="1">
      <c r="B30" s="72"/>
      <c r="C30" s="87" t="s">
        <v>296</v>
      </c>
      <c r="D30" s="88"/>
      <c r="E30" s="88"/>
      <c r="F30" s="89">
        <f>F31+F32+F33+F34+F35</f>
        <v>501886</v>
      </c>
      <c r="G30" s="90">
        <f aca="true" t="shared" si="7" ref="G30:R30">G31+G32+G33+G34+G35</f>
        <v>256399</v>
      </c>
      <c r="H30" s="90">
        <f t="shared" si="7"/>
        <v>483068</v>
      </c>
      <c r="I30" s="90">
        <f t="shared" si="7"/>
        <v>39589</v>
      </c>
      <c r="J30" s="90">
        <f t="shared" si="7"/>
        <v>732052</v>
      </c>
      <c r="K30" s="90">
        <f t="shared" si="7"/>
        <v>221897</v>
      </c>
      <c r="L30" s="90">
        <f t="shared" si="7"/>
        <v>72813</v>
      </c>
      <c r="M30" s="90">
        <f t="shared" si="7"/>
        <v>32736</v>
      </c>
      <c r="N30" s="90">
        <f t="shared" si="7"/>
        <v>108819</v>
      </c>
      <c r="O30" s="90">
        <f t="shared" si="7"/>
        <v>9957</v>
      </c>
      <c r="P30" s="90">
        <f t="shared" si="7"/>
        <v>29192</v>
      </c>
      <c r="Q30" s="90">
        <f t="shared" si="7"/>
        <v>16155</v>
      </c>
      <c r="R30" s="90">
        <f t="shared" si="7"/>
        <v>621796</v>
      </c>
      <c r="S30" s="91">
        <f t="shared" si="1"/>
        <v>3126359</v>
      </c>
      <c r="T30" s="72"/>
    </row>
    <row r="31" spans="2:20" ht="22.5" customHeight="1">
      <c r="B31" s="72"/>
      <c r="D31" s="88" t="s">
        <v>73</v>
      </c>
      <c r="E31" s="88"/>
      <c r="F31" s="89">
        <v>34889</v>
      </c>
      <c r="G31" s="90">
        <v>25154</v>
      </c>
      <c r="H31" s="90">
        <v>304357</v>
      </c>
      <c r="I31" s="90">
        <v>3310</v>
      </c>
      <c r="J31" s="90">
        <v>271579</v>
      </c>
      <c r="K31" s="90">
        <v>124279</v>
      </c>
      <c r="L31" s="90">
        <v>36899</v>
      </c>
      <c r="M31" s="90">
        <v>32729</v>
      </c>
      <c r="N31" s="90">
        <v>35793</v>
      </c>
      <c r="O31" s="90">
        <v>3729</v>
      </c>
      <c r="P31" s="90">
        <v>15728</v>
      </c>
      <c r="Q31" s="90">
        <v>5023</v>
      </c>
      <c r="R31" s="90">
        <v>73286</v>
      </c>
      <c r="S31" s="91">
        <f t="shared" si="1"/>
        <v>966755</v>
      </c>
      <c r="T31" s="72"/>
    </row>
    <row r="32" spans="2:20" ht="22.5" customHeight="1">
      <c r="B32" s="72"/>
      <c r="D32" s="88" t="s">
        <v>74</v>
      </c>
      <c r="E32" s="88"/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1">
        <f t="shared" si="1"/>
        <v>0</v>
      </c>
      <c r="T32" s="72"/>
    </row>
    <row r="33" spans="2:20" ht="22.5" customHeight="1">
      <c r="B33" s="72"/>
      <c r="D33" s="88" t="s">
        <v>75</v>
      </c>
      <c r="E33" s="88"/>
      <c r="F33" s="89">
        <v>0</v>
      </c>
      <c r="G33" s="90">
        <v>0</v>
      </c>
      <c r="H33" s="90">
        <v>0</v>
      </c>
      <c r="I33" s="90">
        <v>0</v>
      </c>
      <c r="J33" s="90">
        <v>130865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1">
        <f t="shared" si="1"/>
        <v>130865</v>
      </c>
      <c r="T33" s="72"/>
    </row>
    <row r="34" spans="2:20" ht="22.5" customHeight="1">
      <c r="B34" s="72"/>
      <c r="D34" s="88" t="s">
        <v>76</v>
      </c>
      <c r="E34" s="88"/>
      <c r="F34" s="89">
        <v>120646</v>
      </c>
      <c r="G34" s="90">
        <v>110204</v>
      </c>
      <c r="H34" s="90">
        <v>13935</v>
      </c>
      <c r="I34" s="90">
        <v>0</v>
      </c>
      <c r="J34" s="90">
        <v>0</v>
      </c>
      <c r="K34" s="90">
        <v>6713</v>
      </c>
      <c r="L34" s="90">
        <v>1310</v>
      </c>
      <c r="M34" s="90">
        <v>0</v>
      </c>
      <c r="N34" s="90">
        <v>0</v>
      </c>
      <c r="O34" s="90">
        <v>0</v>
      </c>
      <c r="P34" s="90">
        <v>2519</v>
      </c>
      <c r="Q34" s="90">
        <v>0</v>
      </c>
      <c r="R34" s="90">
        <v>11679</v>
      </c>
      <c r="S34" s="91">
        <f t="shared" si="1"/>
        <v>267006</v>
      </c>
      <c r="T34" s="72"/>
    </row>
    <row r="35" spans="2:20" ht="22.5" customHeight="1">
      <c r="B35" s="97"/>
      <c r="C35" s="83"/>
      <c r="D35" s="83" t="s">
        <v>77</v>
      </c>
      <c r="E35" s="83"/>
      <c r="F35" s="94">
        <v>346351</v>
      </c>
      <c r="G35" s="95">
        <v>121041</v>
      </c>
      <c r="H35" s="95">
        <v>164776</v>
      </c>
      <c r="I35" s="95">
        <v>36279</v>
      </c>
      <c r="J35" s="95">
        <v>329608</v>
      </c>
      <c r="K35" s="95">
        <v>90905</v>
      </c>
      <c r="L35" s="95">
        <v>34604</v>
      </c>
      <c r="M35" s="95">
        <v>7</v>
      </c>
      <c r="N35" s="95">
        <v>73026</v>
      </c>
      <c r="O35" s="95">
        <v>6228</v>
      </c>
      <c r="P35" s="95">
        <v>10945</v>
      </c>
      <c r="Q35" s="95">
        <v>11132</v>
      </c>
      <c r="R35" s="95">
        <v>536831</v>
      </c>
      <c r="S35" s="86">
        <f t="shared" si="1"/>
        <v>1761733</v>
      </c>
      <c r="T35" s="72"/>
    </row>
    <row r="36" spans="2:20" ht="22.5" customHeight="1">
      <c r="B36" s="97" t="s">
        <v>78</v>
      </c>
      <c r="C36" s="83"/>
      <c r="D36" s="83"/>
      <c r="E36" s="83"/>
      <c r="F36" s="94">
        <f>IF(((F10+F16)-(F25+F30))&gt;0,(F10+F16)-(F25+F30),0)</f>
        <v>0</v>
      </c>
      <c r="G36" s="95">
        <f aca="true" t="shared" si="8" ref="G36:R36">IF(((G10+G16)-(G25+G30))&gt;0,(G10+G16)-(G25+G30),0)</f>
        <v>0</v>
      </c>
      <c r="H36" s="95">
        <f t="shared" si="8"/>
        <v>6823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58709</v>
      </c>
      <c r="P36" s="95">
        <f t="shared" si="8"/>
        <v>27145</v>
      </c>
      <c r="Q36" s="95">
        <f t="shared" si="8"/>
        <v>0</v>
      </c>
      <c r="R36" s="95">
        <f t="shared" si="8"/>
        <v>0</v>
      </c>
      <c r="S36" s="86">
        <f t="shared" si="1"/>
        <v>92677</v>
      </c>
      <c r="T36" s="72"/>
    </row>
    <row r="37" spans="2:20" ht="22.5" customHeight="1">
      <c r="B37" s="97" t="s">
        <v>79</v>
      </c>
      <c r="C37" s="83"/>
      <c r="D37" s="83"/>
      <c r="E37" s="83"/>
      <c r="F37" s="94">
        <f>IF(((F10+F16)-(F25+F30))&lt;0,-((F10+F16)-(F25+F30)),0)</f>
        <v>61804</v>
      </c>
      <c r="G37" s="95">
        <f aca="true" t="shared" si="9" ref="G37:R37">IF(((G10+G16)-(G25+G30))&lt;0,-((G10+G16)-(G25+G30)),0)</f>
        <v>237554</v>
      </c>
      <c r="H37" s="95">
        <f t="shared" si="9"/>
        <v>0</v>
      </c>
      <c r="I37" s="95">
        <f t="shared" si="9"/>
        <v>60888</v>
      </c>
      <c r="J37" s="95">
        <f t="shared" si="9"/>
        <v>558405</v>
      </c>
      <c r="K37" s="95">
        <f t="shared" si="9"/>
        <v>364488</v>
      </c>
      <c r="L37" s="95">
        <f t="shared" si="9"/>
        <v>70989</v>
      </c>
      <c r="M37" s="95">
        <f t="shared" si="9"/>
        <v>26750</v>
      </c>
      <c r="N37" s="95">
        <f t="shared" si="9"/>
        <v>310477</v>
      </c>
      <c r="O37" s="95">
        <f t="shared" si="9"/>
        <v>0</v>
      </c>
      <c r="P37" s="95">
        <f t="shared" si="9"/>
        <v>0</v>
      </c>
      <c r="Q37" s="95">
        <f t="shared" si="9"/>
        <v>32271</v>
      </c>
      <c r="R37" s="95">
        <f t="shared" si="9"/>
        <v>92508</v>
      </c>
      <c r="S37" s="86">
        <f t="shared" si="1"/>
        <v>1816134</v>
      </c>
      <c r="T37" s="72"/>
    </row>
    <row r="38" spans="2:20" ht="22.5" customHeight="1">
      <c r="B38" s="72" t="s">
        <v>80</v>
      </c>
      <c r="C38" s="83"/>
      <c r="D38" s="83"/>
      <c r="E38" s="83"/>
      <c r="F38" s="94">
        <f>F39+F40+F41</f>
        <v>213</v>
      </c>
      <c r="G38" s="95">
        <f aca="true" t="shared" si="10" ref="G38:R38">G39+G40+G41</f>
        <v>0</v>
      </c>
      <c r="H38" s="95">
        <f t="shared" si="10"/>
        <v>0</v>
      </c>
      <c r="I38" s="95">
        <f t="shared" si="10"/>
        <v>0</v>
      </c>
      <c r="J38" s="95">
        <f t="shared" si="10"/>
        <v>6889</v>
      </c>
      <c r="K38" s="95">
        <f t="shared" si="10"/>
        <v>1</v>
      </c>
      <c r="L38" s="95">
        <f t="shared" si="10"/>
        <v>0</v>
      </c>
      <c r="M38" s="95">
        <f t="shared" si="10"/>
        <v>0</v>
      </c>
      <c r="N38" s="95">
        <f t="shared" si="10"/>
        <v>3930</v>
      </c>
      <c r="O38" s="95">
        <f t="shared" si="10"/>
        <v>1523</v>
      </c>
      <c r="P38" s="95">
        <f t="shared" si="10"/>
        <v>0</v>
      </c>
      <c r="Q38" s="95">
        <f t="shared" si="10"/>
        <v>0</v>
      </c>
      <c r="R38" s="95">
        <f t="shared" si="10"/>
        <v>0</v>
      </c>
      <c r="S38" s="86">
        <f t="shared" si="1"/>
        <v>12556</v>
      </c>
      <c r="T38" s="72"/>
    </row>
    <row r="39" spans="2:20" ht="22.5" customHeight="1">
      <c r="B39" s="72"/>
      <c r="C39" s="83" t="s">
        <v>81</v>
      </c>
      <c r="D39" s="83"/>
      <c r="E39" s="83"/>
      <c r="F39" s="94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86">
        <f t="shared" si="1"/>
        <v>0</v>
      </c>
      <c r="T39" s="72"/>
    </row>
    <row r="40" spans="2:20" ht="22.5" customHeight="1">
      <c r="B40" s="72"/>
      <c r="C40" s="83" t="s">
        <v>82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86">
        <f t="shared" si="1"/>
        <v>0</v>
      </c>
      <c r="T40" s="72"/>
    </row>
    <row r="41" spans="2:20" ht="22.5" customHeight="1">
      <c r="B41" s="97"/>
      <c r="C41" s="83" t="s">
        <v>83</v>
      </c>
      <c r="D41" s="83"/>
      <c r="E41" s="83"/>
      <c r="F41" s="94">
        <v>213</v>
      </c>
      <c r="G41" s="95">
        <v>0</v>
      </c>
      <c r="H41" s="95">
        <v>0</v>
      </c>
      <c r="I41" s="95">
        <v>0</v>
      </c>
      <c r="J41" s="95">
        <v>6889</v>
      </c>
      <c r="K41" s="95">
        <v>1</v>
      </c>
      <c r="L41" s="95">
        <v>0</v>
      </c>
      <c r="M41" s="95">
        <v>0</v>
      </c>
      <c r="N41" s="95">
        <v>3930</v>
      </c>
      <c r="O41" s="95">
        <v>1523</v>
      </c>
      <c r="P41" s="95">
        <v>0</v>
      </c>
      <c r="Q41" s="95">
        <v>0</v>
      </c>
      <c r="R41" s="95">
        <v>0</v>
      </c>
      <c r="S41" s="86">
        <f t="shared" si="1"/>
        <v>12556</v>
      </c>
      <c r="T41" s="72"/>
    </row>
    <row r="42" spans="2:20" ht="22.5" customHeight="1">
      <c r="B42" s="82" t="s">
        <v>297</v>
      </c>
      <c r="C42" s="83"/>
      <c r="D42" s="83"/>
      <c r="E42" s="83"/>
      <c r="F42" s="94">
        <f>F43+F44</f>
        <v>73599</v>
      </c>
      <c r="G42" s="95">
        <f aca="true" t="shared" si="11" ref="G42:R42">G43+G44</f>
        <v>1063</v>
      </c>
      <c r="H42" s="95">
        <f t="shared" si="11"/>
        <v>775</v>
      </c>
      <c r="I42" s="95">
        <f t="shared" si="11"/>
        <v>4065</v>
      </c>
      <c r="J42" s="95">
        <f t="shared" si="11"/>
        <v>5336</v>
      </c>
      <c r="K42" s="95">
        <f t="shared" si="11"/>
        <v>1260</v>
      </c>
      <c r="L42" s="95">
        <f t="shared" si="11"/>
        <v>1820</v>
      </c>
      <c r="M42" s="95">
        <f t="shared" si="11"/>
        <v>0</v>
      </c>
      <c r="N42" s="95">
        <f t="shared" si="11"/>
        <v>7625</v>
      </c>
      <c r="O42" s="95">
        <f t="shared" si="11"/>
        <v>0</v>
      </c>
      <c r="P42" s="95">
        <f t="shared" si="11"/>
        <v>0</v>
      </c>
      <c r="Q42" s="95">
        <f t="shared" si="11"/>
        <v>0</v>
      </c>
      <c r="R42" s="95">
        <f t="shared" si="11"/>
        <v>0</v>
      </c>
      <c r="S42" s="86">
        <f t="shared" si="1"/>
        <v>95543</v>
      </c>
      <c r="T42" s="72"/>
    </row>
    <row r="43" spans="2:20" ht="22.5" customHeight="1">
      <c r="B43" s="72"/>
      <c r="C43" s="83" t="s">
        <v>84</v>
      </c>
      <c r="D43" s="83"/>
      <c r="E43" s="83"/>
      <c r="F43" s="94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86">
        <f t="shared" si="1"/>
        <v>0</v>
      </c>
      <c r="T43" s="72"/>
    </row>
    <row r="44" spans="2:20" ht="22.5" customHeight="1">
      <c r="B44" s="97"/>
      <c r="C44" s="83" t="s">
        <v>85</v>
      </c>
      <c r="D44" s="83"/>
      <c r="E44" s="83"/>
      <c r="F44" s="94">
        <v>73599</v>
      </c>
      <c r="G44" s="95">
        <v>1063</v>
      </c>
      <c r="H44" s="95">
        <v>775</v>
      </c>
      <c r="I44" s="95">
        <v>4065</v>
      </c>
      <c r="J44" s="95">
        <v>5336</v>
      </c>
      <c r="K44" s="95">
        <v>1260</v>
      </c>
      <c r="L44" s="95">
        <v>1820</v>
      </c>
      <c r="M44" s="95">
        <v>0</v>
      </c>
      <c r="N44" s="95">
        <v>7625</v>
      </c>
      <c r="O44" s="95">
        <v>0</v>
      </c>
      <c r="P44" s="95">
        <v>0</v>
      </c>
      <c r="Q44" s="95">
        <v>0</v>
      </c>
      <c r="R44" s="95">
        <v>0</v>
      </c>
      <c r="S44" s="86">
        <f t="shared" si="1"/>
        <v>95543</v>
      </c>
      <c r="T44" s="72"/>
    </row>
    <row r="45" spans="2:20" ht="22.5" customHeight="1">
      <c r="B45" s="97" t="s">
        <v>86</v>
      </c>
      <c r="C45" s="83"/>
      <c r="D45" s="83"/>
      <c r="E45" s="83"/>
      <c r="F45" s="94">
        <f>IF((F9-F24)&gt;0,F9-F24,0)</f>
        <v>0</v>
      </c>
      <c r="G45" s="95">
        <f aca="true" t="shared" si="12" ref="G45:R45">IF((G9-G24)&gt;0,G9-G24,0)</f>
        <v>0</v>
      </c>
      <c r="H45" s="95">
        <f t="shared" si="12"/>
        <v>6048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60232</v>
      </c>
      <c r="P45" s="95">
        <f t="shared" si="12"/>
        <v>27145</v>
      </c>
      <c r="Q45" s="95">
        <f t="shared" si="12"/>
        <v>0</v>
      </c>
      <c r="R45" s="95">
        <f t="shared" si="12"/>
        <v>0</v>
      </c>
      <c r="S45" s="86">
        <f t="shared" si="1"/>
        <v>93425</v>
      </c>
      <c r="T45" s="72"/>
    </row>
    <row r="46" spans="2:20" ht="22.5" customHeight="1">
      <c r="B46" s="97" t="s">
        <v>87</v>
      </c>
      <c r="C46" s="83"/>
      <c r="D46" s="83"/>
      <c r="E46" s="83"/>
      <c r="F46" s="94">
        <f>IF((F9-F24)&lt;0,-(F9-F24),0)</f>
        <v>135190</v>
      </c>
      <c r="G46" s="95">
        <f aca="true" t="shared" si="13" ref="G46:R46">IF((G9-G24)&lt;0,-(G9-G24),0)</f>
        <v>238617</v>
      </c>
      <c r="H46" s="95">
        <f t="shared" si="13"/>
        <v>0</v>
      </c>
      <c r="I46" s="95">
        <f t="shared" si="13"/>
        <v>64953</v>
      </c>
      <c r="J46" s="95">
        <f t="shared" si="13"/>
        <v>556852</v>
      </c>
      <c r="K46" s="95">
        <f t="shared" si="13"/>
        <v>365747</v>
      </c>
      <c r="L46" s="95">
        <f t="shared" si="13"/>
        <v>72809</v>
      </c>
      <c r="M46" s="95">
        <f t="shared" si="13"/>
        <v>26750</v>
      </c>
      <c r="N46" s="95">
        <f t="shared" si="13"/>
        <v>314172</v>
      </c>
      <c r="O46" s="95">
        <f t="shared" si="13"/>
        <v>0</v>
      </c>
      <c r="P46" s="95">
        <f t="shared" si="13"/>
        <v>0</v>
      </c>
      <c r="Q46" s="95">
        <f t="shared" si="13"/>
        <v>32271</v>
      </c>
      <c r="R46" s="95">
        <f t="shared" si="13"/>
        <v>92508</v>
      </c>
      <c r="S46" s="86">
        <f t="shared" si="1"/>
        <v>1899869</v>
      </c>
      <c r="T46" s="72"/>
    </row>
    <row r="47" spans="2:20" ht="19.5" customHeight="1">
      <c r="B47" s="102" t="s">
        <v>88</v>
      </c>
      <c r="C47" s="103"/>
      <c r="D47" s="103"/>
      <c r="E47" s="103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72"/>
    </row>
    <row r="48" spans="2:20" ht="19.5" customHeight="1">
      <c r="B48" s="105" t="s">
        <v>299</v>
      </c>
      <c r="C48" s="106"/>
      <c r="D48" s="106"/>
      <c r="E48" s="106"/>
      <c r="F48" s="107">
        <v>-2619883</v>
      </c>
      <c r="G48" s="108">
        <v>-2915580</v>
      </c>
      <c r="H48" s="108">
        <v>-7753647</v>
      </c>
      <c r="I48" s="108">
        <v>-2563614</v>
      </c>
      <c r="J48" s="108">
        <v>-8163546</v>
      </c>
      <c r="K48" s="108">
        <v>-3476755</v>
      </c>
      <c r="L48" s="108">
        <v>74886</v>
      </c>
      <c r="M48" s="108">
        <v>-202066</v>
      </c>
      <c r="N48" s="108">
        <v>-1863662</v>
      </c>
      <c r="O48" s="108">
        <v>-123922</v>
      </c>
      <c r="P48" s="108">
        <v>-12205</v>
      </c>
      <c r="Q48" s="108">
        <v>-906552</v>
      </c>
      <c r="R48" s="108">
        <v>0</v>
      </c>
      <c r="S48" s="109">
        <f t="shared" si="1"/>
        <v>-30526546</v>
      </c>
      <c r="T48" s="72"/>
    </row>
    <row r="49" spans="2:20" ht="19.5" customHeight="1">
      <c r="B49" s="104" t="s">
        <v>298</v>
      </c>
      <c r="C49" s="103"/>
      <c r="D49" s="103"/>
      <c r="E49" s="103"/>
      <c r="F49" s="98"/>
      <c r="G49" s="9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0"/>
      <c r="T49" s="72"/>
    </row>
    <row r="50" spans="2:20" ht="19.5" customHeight="1" thickBot="1">
      <c r="B50" s="110" t="s">
        <v>89</v>
      </c>
      <c r="C50" s="111"/>
      <c r="D50" s="111"/>
      <c r="E50" s="111"/>
      <c r="F50" s="112">
        <f>F48+F45-F46</f>
        <v>-2755073</v>
      </c>
      <c r="G50" s="113">
        <f aca="true" t="shared" si="14" ref="G50:R50">G48+G45-G46</f>
        <v>-3154197</v>
      </c>
      <c r="H50" s="114">
        <f t="shared" si="14"/>
        <v>-7747599</v>
      </c>
      <c r="I50" s="114">
        <f t="shared" si="14"/>
        <v>-2628567</v>
      </c>
      <c r="J50" s="114">
        <f t="shared" si="14"/>
        <v>-8720398</v>
      </c>
      <c r="K50" s="114">
        <f t="shared" si="14"/>
        <v>-3842502</v>
      </c>
      <c r="L50" s="114">
        <f t="shared" si="14"/>
        <v>2077</v>
      </c>
      <c r="M50" s="114">
        <f t="shared" si="14"/>
        <v>-228816</v>
      </c>
      <c r="N50" s="114">
        <f t="shared" si="14"/>
        <v>-2177834</v>
      </c>
      <c r="O50" s="114">
        <f t="shared" si="14"/>
        <v>-63690</v>
      </c>
      <c r="P50" s="114">
        <f t="shared" si="14"/>
        <v>14940</v>
      </c>
      <c r="Q50" s="114">
        <f t="shared" si="14"/>
        <v>-938823</v>
      </c>
      <c r="R50" s="114">
        <f t="shared" si="14"/>
        <v>-92508</v>
      </c>
      <c r="S50" s="115">
        <f>SUM(F50:R50)</f>
        <v>-32332990</v>
      </c>
      <c r="T50" s="72"/>
    </row>
    <row r="51" ht="22.5" customHeight="1"/>
    <row r="52" spans="6:19" ht="17.25"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</row>
  </sheetData>
  <mergeCells count="1">
    <mergeCell ref="I6:I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19" customWidth="1"/>
    <col min="2" max="3" width="4.66015625" style="119" customWidth="1"/>
    <col min="4" max="4" width="20.66015625" style="119" customWidth="1"/>
    <col min="5" max="17" width="13.16015625" style="119" customWidth="1"/>
    <col min="18" max="18" width="13.66015625" style="119" customWidth="1"/>
    <col min="19" max="19" width="1.66015625" style="119" customWidth="1"/>
    <col min="20" max="20" width="2.66015625" style="119" customWidth="1"/>
    <col min="21" max="16384" width="8.66015625" style="119" customWidth="1"/>
  </cols>
  <sheetData>
    <row r="1" ht="22.5" customHeight="1">
      <c r="B1" s="120" t="s">
        <v>0</v>
      </c>
    </row>
    <row r="2" ht="22.5" customHeight="1"/>
    <row r="3" spans="2:18" ht="22.5" customHeight="1" thickBot="1">
      <c r="B3" s="121" t="s">
        <v>90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 t="s">
        <v>57</v>
      </c>
    </row>
    <row r="4" spans="2:19" ht="22.5" customHeight="1">
      <c r="B4" s="123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23"/>
    </row>
    <row r="5" spans="2:19" ht="22.5" customHeight="1">
      <c r="B5" s="123"/>
      <c r="D5" s="119" t="s">
        <v>91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240</v>
      </c>
      <c r="M5" s="76" t="s">
        <v>241</v>
      </c>
      <c r="N5" s="76" t="s">
        <v>242</v>
      </c>
      <c r="O5" s="76" t="s">
        <v>10</v>
      </c>
      <c r="P5" s="76" t="s">
        <v>243</v>
      </c>
      <c r="Q5" s="76" t="s">
        <v>11</v>
      </c>
      <c r="R5" s="74"/>
      <c r="S5" s="123"/>
    </row>
    <row r="6" spans="2:19" ht="22.5" customHeight="1">
      <c r="B6" s="123"/>
      <c r="E6" s="73"/>
      <c r="F6" s="74"/>
      <c r="G6" s="74"/>
      <c r="H6" s="462" t="s">
        <v>494</v>
      </c>
      <c r="I6" s="74"/>
      <c r="J6" s="74"/>
      <c r="K6" s="74"/>
      <c r="L6" s="74"/>
      <c r="M6" s="74"/>
      <c r="N6" s="74"/>
      <c r="O6" s="74"/>
      <c r="P6" s="74"/>
      <c r="Q6" s="74"/>
      <c r="R6" s="76" t="s">
        <v>12</v>
      </c>
      <c r="S6" s="123"/>
    </row>
    <row r="7" spans="2:19" ht="22.5" customHeight="1">
      <c r="B7" s="123" t="s">
        <v>92</v>
      </c>
      <c r="E7" s="73" t="s">
        <v>357</v>
      </c>
      <c r="F7" s="74" t="s">
        <v>357</v>
      </c>
      <c r="G7" s="74"/>
      <c r="H7" s="463"/>
      <c r="I7" s="74"/>
      <c r="J7" s="74"/>
      <c r="K7" s="74" t="s">
        <v>357</v>
      </c>
      <c r="L7" s="77" t="s">
        <v>358</v>
      </c>
      <c r="M7" s="74" t="s">
        <v>359</v>
      </c>
      <c r="N7" s="74" t="s">
        <v>14</v>
      </c>
      <c r="O7" s="74" t="s">
        <v>14</v>
      </c>
      <c r="P7" s="74" t="s">
        <v>360</v>
      </c>
      <c r="Q7" s="74"/>
      <c r="R7" s="74"/>
      <c r="S7" s="123"/>
    </row>
    <row r="8" spans="2:19" ht="22.5" customHeight="1" thickBot="1">
      <c r="B8" s="124"/>
      <c r="C8" s="121"/>
      <c r="D8" s="121"/>
      <c r="E8" s="118" t="s">
        <v>361</v>
      </c>
      <c r="F8" s="81" t="s">
        <v>362</v>
      </c>
      <c r="G8" s="81" t="s">
        <v>15</v>
      </c>
      <c r="H8" s="81" t="s">
        <v>16</v>
      </c>
      <c r="I8" s="81" t="s">
        <v>321</v>
      </c>
      <c r="J8" s="81" t="s">
        <v>17</v>
      </c>
      <c r="K8" s="81" t="s">
        <v>18</v>
      </c>
      <c r="L8" s="81" t="s">
        <v>320</v>
      </c>
      <c r="M8" s="81" t="s">
        <v>339</v>
      </c>
      <c r="N8" s="81" t="s">
        <v>60</v>
      </c>
      <c r="O8" s="81" t="s">
        <v>61</v>
      </c>
      <c r="P8" s="81" t="s">
        <v>246</v>
      </c>
      <c r="Q8" s="81" t="s">
        <v>19</v>
      </c>
      <c r="R8" s="80"/>
      <c r="S8" s="123"/>
    </row>
    <row r="9" spans="2:19" ht="22.5" customHeight="1">
      <c r="B9" s="125" t="s">
        <v>93</v>
      </c>
      <c r="C9" s="126" t="s">
        <v>94</v>
      </c>
      <c r="D9" s="127"/>
      <c r="E9" s="128">
        <v>2919125</v>
      </c>
      <c r="F9" s="129">
        <v>1454352</v>
      </c>
      <c r="G9" s="129">
        <v>1185136</v>
      </c>
      <c r="H9" s="129">
        <v>431411</v>
      </c>
      <c r="I9" s="129">
        <v>766800</v>
      </c>
      <c r="J9" s="129">
        <v>928333</v>
      </c>
      <c r="K9" s="129">
        <v>306845</v>
      </c>
      <c r="L9" s="129">
        <v>405139</v>
      </c>
      <c r="M9" s="129">
        <v>729324</v>
      </c>
      <c r="N9" s="129">
        <v>142233</v>
      </c>
      <c r="O9" s="129">
        <v>101429</v>
      </c>
      <c r="P9" s="129">
        <v>190159</v>
      </c>
      <c r="Q9" s="129">
        <v>935822</v>
      </c>
      <c r="R9" s="130">
        <f>SUM(E9:Q9)</f>
        <v>10496108</v>
      </c>
      <c r="S9" s="123"/>
    </row>
    <row r="10" spans="2:19" ht="22.5" customHeight="1">
      <c r="B10" s="125" t="s">
        <v>49</v>
      </c>
      <c r="C10" s="126" t="s">
        <v>95</v>
      </c>
      <c r="D10" s="127"/>
      <c r="E10" s="131">
        <v>2509721</v>
      </c>
      <c r="F10" s="132">
        <v>1016791</v>
      </c>
      <c r="G10" s="132">
        <v>864515</v>
      </c>
      <c r="H10" s="132">
        <v>290828</v>
      </c>
      <c r="I10" s="132">
        <v>600062</v>
      </c>
      <c r="J10" s="132">
        <v>627464</v>
      </c>
      <c r="K10" s="132">
        <v>219697</v>
      </c>
      <c r="L10" s="132">
        <v>247309</v>
      </c>
      <c r="M10" s="132">
        <v>577979</v>
      </c>
      <c r="N10" s="132">
        <v>98106</v>
      </c>
      <c r="O10" s="132">
        <v>78704</v>
      </c>
      <c r="P10" s="132">
        <v>107273</v>
      </c>
      <c r="Q10" s="132">
        <v>649998</v>
      </c>
      <c r="R10" s="130">
        <f aca="true" t="shared" si="0" ref="R10:R48">SUM(E10:Q10)</f>
        <v>7888447</v>
      </c>
      <c r="S10" s="123"/>
    </row>
    <row r="11" spans="2:19" ht="22.5" customHeight="1">
      <c r="B11" s="125" t="s">
        <v>51</v>
      </c>
      <c r="C11" s="126" t="s">
        <v>96</v>
      </c>
      <c r="D11" s="127"/>
      <c r="E11" s="131">
        <v>44359</v>
      </c>
      <c r="F11" s="132">
        <v>351426</v>
      </c>
      <c r="G11" s="132">
        <v>439868</v>
      </c>
      <c r="H11" s="132">
        <v>125670</v>
      </c>
      <c r="I11" s="132">
        <v>161805</v>
      </c>
      <c r="J11" s="132">
        <v>247514</v>
      </c>
      <c r="K11" s="132">
        <v>92449</v>
      </c>
      <c r="L11" s="132">
        <v>105906</v>
      </c>
      <c r="M11" s="132">
        <v>167172</v>
      </c>
      <c r="N11" s="132">
        <v>30978</v>
      </c>
      <c r="O11" s="132">
        <v>124353</v>
      </c>
      <c r="P11" s="132">
        <v>87550</v>
      </c>
      <c r="Q11" s="132">
        <v>92238</v>
      </c>
      <c r="R11" s="130">
        <f t="shared" si="0"/>
        <v>2071288</v>
      </c>
      <c r="S11" s="123"/>
    </row>
    <row r="12" spans="2:19" ht="22.5" customHeight="1">
      <c r="B12" s="125" t="s">
        <v>97</v>
      </c>
      <c r="C12" s="126" t="s">
        <v>98</v>
      </c>
      <c r="D12" s="127"/>
      <c r="E12" s="131">
        <v>433225</v>
      </c>
      <c r="F12" s="132">
        <v>275121</v>
      </c>
      <c r="G12" s="132">
        <v>70891</v>
      </c>
      <c r="H12" s="132">
        <v>23315</v>
      </c>
      <c r="I12" s="132">
        <v>29617</v>
      </c>
      <c r="J12" s="132">
        <v>108058</v>
      </c>
      <c r="K12" s="132">
        <v>16503</v>
      </c>
      <c r="L12" s="132">
        <v>0</v>
      </c>
      <c r="M12" s="132">
        <v>85668</v>
      </c>
      <c r="N12" s="132">
        <v>0</v>
      </c>
      <c r="O12" s="132">
        <v>0</v>
      </c>
      <c r="P12" s="132">
        <v>0</v>
      </c>
      <c r="Q12" s="132">
        <v>0</v>
      </c>
      <c r="R12" s="130">
        <f t="shared" si="0"/>
        <v>1042398</v>
      </c>
      <c r="S12" s="123"/>
    </row>
    <row r="13" spans="2:19" ht="22.5" customHeight="1">
      <c r="B13" s="125" t="s">
        <v>99</v>
      </c>
      <c r="C13" s="126" t="s">
        <v>100</v>
      </c>
      <c r="D13" s="127"/>
      <c r="E13" s="131">
        <v>860652</v>
      </c>
      <c r="F13" s="132">
        <v>451143</v>
      </c>
      <c r="G13" s="132">
        <v>332093</v>
      </c>
      <c r="H13" s="132">
        <v>147669</v>
      </c>
      <c r="I13" s="132">
        <v>223807</v>
      </c>
      <c r="J13" s="132">
        <v>281700</v>
      </c>
      <c r="K13" s="132">
        <v>75097</v>
      </c>
      <c r="L13" s="132">
        <v>121250</v>
      </c>
      <c r="M13" s="132">
        <v>224558</v>
      </c>
      <c r="N13" s="132">
        <v>42942</v>
      </c>
      <c r="O13" s="132">
        <v>43414</v>
      </c>
      <c r="P13" s="132">
        <v>64036</v>
      </c>
      <c r="Q13" s="132">
        <v>285480</v>
      </c>
      <c r="R13" s="130">
        <f t="shared" si="0"/>
        <v>3153841</v>
      </c>
      <c r="S13" s="123"/>
    </row>
    <row r="14" spans="2:19" ht="22.5" customHeight="1">
      <c r="B14" s="133" t="s">
        <v>101</v>
      </c>
      <c r="C14" s="134" t="s">
        <v>102</v>
      </c>
      <c r="D14" s="135"/>
      <c r="E14" s="136">
        <f>E9+E10+E11+E12+E13</f>
        <v>6767082</v>
      </c>
      <c r="F14" s="137">
        <f aca="true" t="shared" si="1" ref="F14:Q14">F9+F10+F11+F12+F13</f>
        <v>3548833</v>
      </c>
      <c r="G14" s="137">
        <f t="shared" si="1"/>
        <v>2892503</v>
      </c>
      <c r="H14" s="137">
        <f t="shared" si="1"/>
        <v>1018893</v>
      </c>
      <c r="I14" s="137">
        <f t="shared" si="1"/>
        <v>1782091</v>
      </c>
      <c r="J14" s="137">
        <f t="shared" si="1"/>
        <v>2193069</v>
      </c>
      <c r="K14" s="137">
        <f t="shared" si="1"/>
        <v>710591</v>
      </c>
      <c r="L14" s="137">
        <f t="shared" si="1"/>
        <v>879604</v>
      </c>
      <c r="M14" s="137">
        <f t="shared" si="1"/>
        <v>1784701</v>
      </c>
      <c r="N14" s="137">
        <f t="shared" si="1"/>
        <v>314259</v>
      </c>
      <c r="O14" s="137">
        <f t="shared" si="1"/>
        <v>347900</v>
      </c>
      <c r="P14" s="137">
        <f t="shared" si="1"/>
        <v>449018</v>
      </c>
      <c r="Q14" s="137">
        <f t="shared" si="1"/>
        <v>1963538</v>
      </c>
      <c r="R14" s="138">
        <f t="shared" si="0"/>
        <v>24652082</v>
      </c>
      <c r="S14" s="123"/>
    </row>
    <row r="15" spans="2:19" ht="22.5" customHeight="1">
      <c r="B15" s="139" t="s">
        <v>300</v>
      </c>
      <c r="C15" s="135"/>
      <c r="D15" s="135"/>
      <c r="E15" s="136">
        <f>E16+E17+E18</f>
        <v>34889</v>
      </c>
      <c r="F15" s="137">
        <f aca="true" t="shared" si="2" ref="F15:Q15">F16+F17+F18</f>
        <v>25154</v>
      </c>
      <c r="G15" s="137">
        <f t="shared" si="2"/>
        <v>304357</v>
      </c>
      <c r="H15" s="137">
        <f t="shared" si="2"/>
        <v>3310</v>
      </c>
      <c r="I15" s="137">
        <f t="shared" si="2"/>
        <v>271579</v>
      </c>
      <c r="J15" s="137">
        <f t="shared" si="2"/>
        <v>124279</v>
      </c>
      <c r="K15" s="137">
        <f t="shared" si="2"/>
        <v>36899</v>
      </c>
      <c r="L15" s="137">
        <f t="shared" si="2"/>
        <v>32729</v>
      </c>
      <c r="M15" s="137">
        <f t="shared" si="2"/>
        <v>35793</v>
      </c>
      <c r="N15" s="137">
        <f t="shared" si="2"/>
        <v>3729</v>
      </c>
      <c r="O15" s="137">
        <f t="shared" si="2"/>
        <v>15728</v>
      </c>
      <c r="P15" s="137">
        <f t="shared" si="2"/>
        <v>5023</v>
      </c>
      <c r="Q15" s="137">
        <f t="shared" si="2"/>
        <v>73286</v>
      </c>
      <c r="R15" s="138">
        <f t="shared" si="0"/>
        <v>966755</v>
      </c>
      <c r="S15" s="123"/>
    </row>
    <row r="16" spans="2:19" ht="22.5" customHeight="1">
      <c r="B16" s="123"/>
      <c r="C16" s="145" t="s">
        <v>495</v>
      </c>
      <c r="D16" s="127"/>
      <c r="E16" s="131">
        <v>34889</v>
      </c>
      <c r="F16" s="132">
        <v>19413</v>
      </c>
      <c r="G16" s="132">
        <v>295160</v>
      </c>
      <c r="H16" s="132">
        <v>2542</v>
      </c>
      <c r="I16" s="132">
        <v>266743</v>
      </c>
      <c r="J16" s="132">
        <v>124279</v>
      </c>
      <c r="K16" s="132">
        <v>36899</v>
      </c>
      <c r="L16" s="132">
        <v>29199</v>
      </c>
      <c r="M16" s="132">
        <v>35468</v>
      </c>
      <c r="N16" s="132">
        <v>3729</v>
      </c>
      <c r="O16" s="132">
        <v>15728</v>
      </c>
      <c r="P16" s="132">
        <v>5023</v>
      </c>
      <c r="Q16" s="132">
        <v>73286</v>
      </c>
      <c r="R16" s="130">
        <f t="shared" si="0"/>
        <v>942358</v>
      </c>
      <c r="S16" s="123"/>
    </row>
    <row r="17" spans="2:19" ht="22.5" customHeight="1">
      <c r="B17" s="123"/>
      <c r="C17" s="145" t="s">
        <v>496</v>
      </c>
      <c r="D17" s="127"/>
      <c r="E17" s="131">
        <v>0</v>
      </c>
      <c r="F17" s="132">
        <v>5741</v>
      </c>
      <c r="G17" s="132">
        <v>9197</v>
      </c>
      <c r="H17" s="132">
        <v>768</v>
      </c>
      <c r="I17" s="132">
        <v>1828</v>
      </c>
      <c r="J17" s="132">
        <v>0</v>
      </c>
      <c r="K17" s="132">
        <v>0</v>
      </c>
      <c r="L17" s="132">
        <v>3530</v>
      </c>
      <c r="M17" s="132">
        <v>325</v>
      </c>
      <c r="N17" s="132">
        <v>0</v>
      </c>
      <c r="O17" s="132">
        <v>0</v>
      </c>
      <c r="P17" s="132">
        <v>0</v>
      </c>
      <c r="Q17" s="132">
        <v>0</v>
      </c>
      <c r="R17" s="130">
        <f t="shared" si="0"/>
        <v>21389</v>
      </c>
      <c r="S17" s="123"/>
    </row>
    <row r="18" spans="2:19" ht="22.5" customHeight="1">
      <c r="B18" s="140"/>
      <c r="C18" s="134" t="s">
        <v>103</v>
      </c>
      <c r="D18" s="135"/>
      <c r="E18" s="136">
        <v>0</v>
      </c>
      <c r="F18" s="137">
        <v>0</v>
      </c>
      <c r="G18" s="137">
        <v>0</v>
      </c>
      <c r="H18" s="137">
        <v>0</v>
      </c>
      <c r="I18" s="137">
        <v>3008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8">
        <f t="shared" si="0"/>
        <v>3008</v>
      </c>
      <c r="S18" s="123"/>
    </row>
    <row r="19" spans="2:19" ht="22.5" customHeight="1">
      <c r="B19" s="141" t="s">
        <v>301</v>
      </c>
      <c r="C19" s="135"/>
      <c r="D19" s="135"/>
      <c r="E19" s="136">
        <v>889688</v>
      </c>
      <c r="F19" s="137">
        <v>261323</v>
      </c>
      <c r="G19" s="137">
        <v>460982</v>
      </c>
      <c r="H19" s="137">
        <v>56923</v>
      </c>
      <c r="I19" s="137">
        <v>454980</v>
      </c>
      <c r="J19" s="137">
        <v>269982</v>
      </c>
      <c r="K19" s="137">
        <v>108759</v>
      </c>
      <c r="L19" s="137">
        <v>129344</v>
      </c>
      <c r="M19" s="137">
        <v>157906</v>
      </c>
      <c r="N19" s="137">
        <v>23112</v>
      </c>
      <c r="O19" s="137">
        <v>42921</v>
      </c>
      <c r="P19" s="137">
        <v>44146</v>
      </c>
      <c r="Q19" s="137">
        <v>262831</v>
      </c>
      <c r="R19" s="138">
        <f t="shared" si="0"/>
        <v>3162897</v>
      </c>
      <c r="S19" s="123"/>
    </row>
    <row r="20" spans="2:19" ht="22.5" customHeight="1">
      <c r="B20" s="140" t="s">
        <v>104</v>
      </c>
      <c r="C20" s="135"/>
      <c r="D20" s="135"/>
      <c r="E20" s="136">
        <v>285598</v>
      </c>
      <c r="F20" s="137">
        <v>91201</v>
      </c>
      <c r="G20" s="137">
        <v>100297</v>
      </c>
      <c r="H20" s="137">
        <v>27017</v>
      </c>
      <c r="I20" s="137">
        <v>120858</v>
      </c>
      <c r="J20" s="137">
        <v>61034</v>
      </c>
      <c r="K20" s="137">
        <v>28712</v>
      </c>
      <c r="L20" s="137">
        <v>21435</v>
      </c>
      <c r="M20" s="137">
        <v>64622</v>
      </c>
      <c r="N20" s="137">
        <v>4551</v>
      </c>
      <c r="O20" s="137">
        <v>13194</v>
      </c>
      <c r="P20" s="137">
        <v>13160</v>
      </c>
      <c r="Q20" s="137">
        <v>53920</v>
      </c>
      <c r="R20" s="138">
        <f t="shared" si="0"/>
        <v>885599</v>
      </c>
      <c r="S20" s="123"/>
    </row>
    <row r="21" spans="2:19" ht="22.5" customHeight="1">
      <c r="B21" s="140" t="s">
        <v>105</v>
      </c>
      <c r="C21" s="135"/>
      <c r="D21" s="135"/>
      <c r="E21" s="136">
        <v>8905</v>
      </c>
      <c r="F21" s="137">
        <v>6831</v>
      </c>
      <c r="G21" s="137">
        <v>8696</v>
      </c>
      <c r="H21" s="137">
        <v>1957</v>
      </c>
      <c r="I21" s="137">
        <v>5038</v>
      </c>
      <c r="J21" s="137">
        <v>3729</v>
      </c>
      <c r="K21" s="137">
        <v>2576</v>
      </c>
      <c r="L21" s="137">
        <v>3856</v>
      </c>
      <c r="M21" s="137">
        <v>4045</v>
      </c>
      <c r="N21" s="137">
        <v>634</v>
      </c>
      <c r="O21" s="137">
        <v>950</v>
      </c>
      <c r="P21" s="137">
        <v>1848</v>
      </c>
      <c r="Q21" s="137">
        <v>6047</v>
      </c>
      <c r="R21" s="138">
        <f t="shared" si="0"/>
        <v>55112</v>
      </c>
      <c r="S21" s="123"/>
    </row>
    <row r="22" spans="2:19" ht="22.5" customHeight="1">
      <c r="B22" s="140" t="s">
        <v>106</v>
      </c>
      <c r="C22" s="135"/>
      <c r="D22" s="135"/>
      <c r="E22" s="136">
        <v>130222</v>
      </c>
      <c r="F22" s="137">
        <v>61508</v>
      </c>
      <c r="G22" s="137">
        <v>130890</v>
      </c>
      <c r="H22" s="137">
        <v>25968</v>
      </c>
      <c r="I22" s="137">
        <v>51728</v>
      </c>
      <c r="J22" s="137">
        <v>31008</v>
      </c>
      <c r="K22" s="137">
        <v>21917</v>
      </c>
      <c r="L22" s="137">
        <v>4978</v>
      </c>
      <c r="M22" s="137">
        <v>46126</v>
      </c>
      <c r="N22" s="137">
        <v>2173</v>
      </c>
      <c r="O22" s="137">
        <v>3069</v>
      </c>
      <c r="P22" s="137">
        <v>3973</v>
      </c>
      <c r="Q22" s="137">
        <v>37775</v>
      </c>
      <c r="R22" s="138">
        <f t="shared" si="0"/>
        <v>551335</v>
      </c>
      <c r="S22" s="123"/>
    </row>
    <row r="23" spans="2:19" ht="22.5" customHeight="1">
      <c r="B23" s="141" t="s">
        <v>302</v>
      </c>
      <c r="C23" s="135"/>
      <c r="D23" s="135"/>
      <c r="E23" s="136">
        <v>1619237</v>
      </c>
      <c r="F23" s="137">
        <v>492907</v>
      </c>
      <c r="G23" s="137">
        <v>536080</v>
      </c>
      <c r="H23" s="137">
        <v>129323</v>
      </c>
      <c r="I23" s="137">
        <v>396371</v>
      </c>
      <c r="J23" s="137">
        <v>323949</v>
      </c>
      <c r="K23" s="137">
        <v>172683</v>
      </c>
      <c r="L23" s="137">
        <v>74591</v>
      </c>
      <c r="M23" s="137">
        <v>360768</v>
      </c>
      <c r="N23" s="137">
        <v>14383</v>
      </c>
      <c r="O23" s="137">
        <v>87667</v>
      </c>
      <c r="P23" s="137">
        <v>123919</v>
      </c>
      <c r="Q23" s="137">
        <v>237858</v>
      </c>
      <c r="R23" s="138">
        <f t="shared" si="0"/>
        <v>4569736</v>
      </c>
      <c r="S23" s="123"/>
    </row>
    <row r="24" spans="2:19" ht="22.5" customHeight="1">
      <c r="B24" s="123" t="s">
        <v>107</v>
      </c>
      <c r="C24" s="142" t="s">
        <v>108</v>
      </c>
      <c r="D24" s="126" t="s">
        <v>109</v>
      </c>
      <c r="E24" s="131">
        <v>707233</v>
      </c>
      <c r="F24" s="132">
        <v>123830</v>
      </c>
      <c r="G24" s="132">
        <v>338530</v>
      </c>
      <c r="H24" s="132">
        <v>28344</v>
      </c>
      <c r="I24" s="132">
        <v>53411</v>
      </c>
      <c r="J24" s="132">
        <v>160255</v>
      </c>
      <c r="K24" s="132">
        <v>146868</v>
      </c>
      <c r="L24" s="132">
        <v>28115</v>
      </c>
      <c r="M24" s="132">
        <v>39656</v>
      </c>
      <c r="N24" s="132">
        <v>18959</v>
      </c>
      <c r="O24" s="132">
        <v>6082</v>
      </c>
      <c r="P24" s="132">
        <v>27553</v>
      </c>
      <c r="Q24" s="132">
        <v>78880</v>
      </c>
      <c r="R24" s="130">
        <f t="shared" si="0"/>
        <v>1757716</v>
      </c>
      <c r="S24" s="123"/>
    </row>
    <row r="25" spans="2:19" ht="22.5" customHeight="1">
      <c r="B25" s="123" t="s">
        <v>110</v>
      </c>
      <c r="C25" s="143" t="s">
        <v>354</v>
      </c>
      <c r="D25" s="126" t="s">
        <v>111</v>
      </c>
      <c r="E25" s="131">
        <v>1683692</v>
      </c>
      <c r="F25" s="132">
        <v>432212</v>
      </c>
      <c r="G25" s="132">
        <v>664225</v>
      </c>
      <c r="H25" s="132">
        <v>132703</v>
      </c>
      <c r="I25" s="132">
        <v>160706</v>
      </c>
      <c r="J25" s="132">
        <v>389541</v>
      </c>
      <c r="K25" s="132">
        <v>65853</v>
      </c>
      <c r="L25" s="132">
        <v>84103</v>
      </c>
      <c r="M25" s="132">
        <v>243042</v>
      </c>
      <c r="N25" s="132">
        <v>21310</v>
      </c>
      <c r="O25" s="132">
        <v>18431</v>
      </c>
      <c r="P25" s="132">
        <v>28678</v>
      </c>
      <c r="Q25" s="132">
        <v>272931</v>
      </c>
      <c r="R25" s="130">
        <f t="shared" si="0"/>
        <v>4197427</v>
      </c>
      <c r="S25" s="123"/>
    </row>
    <row r="26" spans="2:19" ht="22.5" customHeight="1">
      <c r="B26" s="144" t="s">
        <v>112</v>
      </c>
      <c r="C26" s="145" t="s">
        <v>351</v>
      </c>
      <c r="D26" s="126" t="s">
        <v>113</v>
      </c>
      <c r="E26" s="131">
        <f>E24+E25</f>
        <v>2390925</v>
      </c>
      <c r="F26" s="132">
        <f aca="true" t="shared" si="3" ref="F26:Q26">F24+F25</f>
        <v>556042</v>
      </c>
      <c r="G26" s="132">
        <f t="shared" si="3"/>
        <v>1002755</v>
      </c>
      <c r="H26" s="132">
        <f t="shared" si="3"/>
        <v>161047</v>
      </c>
      <c r="I26" s="132">
        <f t="shared" si="3"/>
        <v>214117</v>
      </c>
      <c r="J26" s="132">
        <f t="shared" si="3"/>
        <v>549796</v>
      </c>
      <c r="K26" s="132">
        <f t="shared" si="3"/>
        <v>212721</v>
      </c>
      <c r="L26" s="132">
        <f t="shared" si="3"/>
        <v>112218</v>
      </c>
      <c r="M26" s="132">
        <f t="shared" si="3"/>
        <v>282698</v>
      </c>
      <c r="N26" s="132">
        <f t="shared" si="3"/>
        <v>40269</v>
      </c>
      <c r="O26" s="132">
        <f t="shared" si="3"/>
        <v>24513</v>
      </c>
      <c r="P26" s="132">
        <f t="shared" si="3"/>
        <v>56231</v>
      </c>
      <c r="Q26" s="132">
        <f t="shared" si="3"/>
        <v>351811</v>
      </c>
      <c r="R26" s="130">
        <f t="shared" si="0"/>
        <v>5955143</v>
      </c>
      <c r="S26" s="123"/>
    </row>
    <row r="27" spans="2:19" ht="22.5" customHeight="1">
      <c r="B27" s="146" t="s">
        <v>352</v>
      </c>
      <c r="C27" s="126" t="s">
        <v>114</v>
      </c>
      <c r="D27" s="127"/>
      <c r="E27" s="131">
        <v>2257542</v>
      </c>
      <c r="F27" s="132">
        <v>690326</v>
      </c>
      <c r="G27" s="132">
        <v>623290</v>
      </c>
      <c r="H27" s="132">
        <v>201108</v>
      </c>
      <c r="I27" s="132">
        <v>373974</v>
      </c>
      <c r="J27" s="132">
        <v>471407</v>
      </c>
      <c r="K27" s="132">
        <v>131607</v>
      </c>
      <c r="L27" s="132">
        <v>79629</v>
      </c>
      <c r="M27" s="132">
        <v>445380</v>
      </c>
      <c r="N27" s="132">
        <v>16542</v>
      </c>
      <c r="O27" s="132">
        <v>34729</v>
      </c>
      <c r="P27" s="132">
        <v>22457</v>
      </c>
      <c r="Q27" s="132">
        <v>317632</v>
      </c>
      <c r="R27" s="130">
        <f t="shared" si="0"/>
        <v>5665623</v>
      </c>
      <c r="S27" s="123"/>
    </row>
    <row r="28" spans="2:19" ht="22.5" customHeight="1">
      <c r="B28" s="147" t="s">
        <v>353</v>
      </c>
      <c r="C28" s="134" t="s">
        <v>115</v>
      </c>
      <c r="D28" s="135"/>
      <c r="E28" s="136">
        <f>E26+E27</f>
        <v>4648467</v>
      </c>
      <c r="F28" s="137">
        <f aca="true" t="shared" si="4" ref="F28:Q28">F26+F27</f>
        <v>1246368</v>
      </c>
      <c r="G28" s="137">
        <f t="shared" si="4"/>
        <v>1626045</v>
      </c>
      <c r="H28" s="137">
        <f t="shared" si="4"/>
        <v>362155</v>
      </c>
      <c r="I28" s="137">
        <f t="shared" si="4"/>
        <v>588091</v>
      </c>
      <c r="J28" s="137">
        <f t="shared" si="4"/>
        <v>1021203</v>
      </c>
      <c r="K28" s="137">
        <f t="shared" si="4"/>
        <v>344328</v>
      </c>
      <c r="L28" s="137">
        <f t="shared" si="4"/>
        <v>191847</v>
      </c>
      <c r="M28" s="137">
        <f t="shared" si="4"/>
        <v>728078</v>
      </c>
      <c r="N28" s="137">
        <f t="shared" si="4"/>
        <v>56811</v>
      </c>
      <c r="O28" s="137">
        <f t="shared" si="4"/>
        <v>59242</v>
      </c>
      <c r="P28" s="137">
        <f t="shared" si="4"/>
        <v>78688</v>
      </c>
      <c r="Q28" s="137">
        <f t="shared" si="4"/>
        <v>669443</v>
      </c>
      <c r="R28" s="138">
        <f t="shared" si="0"/>
        <v>11620766</v>
      </c>
      <c r="S28" s="123"/>
    </row>
    <row r="29" spans="2:19" ht="22.5" customHeight="1">
      <c r="B29" s="141" t="s">
        <v>355</v>
      </c>
      <c r="C29" s="135"/>
      <c r="D29" s="135"/>
      <c r="E29" s="136">
        <v>1209</v>
      </c>
      <c r="F29" s="137">
        <v>47199</v>
      </c>
      <c r="G29" s="137">
        <v>63469</v>
      </c>
      <c r="H29" s="137">
        <v>13644</v>
      </c>
      <c r="I29" s="137">
        <v>0</v>
      </c>
      <c r="J29" s="137">
        <v>0</v>
      </c>
      <c r="K29" s="137">
        <v>0</v>
      </c>
      <c r="L29" s="137">
        <v>0</v>
      </c>
      <c r="M29" s="137">
        <v>191</v>
      </c>
      <c r="N29" s="137">
        <v>4761</v>
      </c>
      <c r="O29" s="137">
        <v>13065</v>
      </c>
      <c r="P29" s="137">
        <v>0</v>
      </c>
      <c r="Q29" s="137">
        <v>41396</v>
      </c>
      <c r="R29" s="138">
        <f t="shared" si="0"/>
        <v>184934</v>
      </c>
      <c r="S29" s="123"/>
    </row>
    <row r="30" spans="2:19" ht="22.5" customHeight="1">
      <c r="B30" s="140" t="s">
        <v>116</v>
      </c>
      <c r="C30" s="135"/>
      <c r="D30" s="135"/>
      <c r="E30" s="136">
        <v>1312188</v>
      </c>
      <c r="F30" s="137">
        <v>431615</v>
      </c>
      <c r="G30" s="137">
        <v>501546</v>
      </c>
      <c r="H30" s="137">
        <v>166726</v>
      </c>
      <c r="I30" s="137">
        <v>600525</v>
      </c>
      <c r="J30" s="137">
        <v>359228</v>
      </c>
      <c r="K30" s="137">
        <v>125077</v>
      </c>
      <c r="L30" s="137">
        <v>167318</v>
      </c>
      <c r="M30" s="137">
        <v>203626</v>
      </c>
      <c r="N30" s="137">
        <v>44195</v>
      </c>
      <c r="O30" s="137">
        <v>39415</v>
      </c>
      <c r="P30" s="137">
        <v>145757</v>
      </c>
      <c r="Q30" s="137">
        <v>915797</v>
      </c>
      <c r="R30" s="138">
        <f t="shared" si="0"/>
        <v>5013013</v>
      </c>
      <c r="S30" s="123"/>
    </row>
    <row r="31" spans="2:19" ht="22.5" customHeight="1">
      <c r="B31" s="140" t="s">
        <v>117</v>
      </c>
      <c r="C31" s="135"/>
      <c r="D31" s="135"/>
      <c r="E31" s="136">
        <f>E14+E15+E19+E20+E21+E22+E23+E28+E29+E30</f>
        <v>15697485</v>
      </c>
      <c r="F31" s="137">
        <f aca="true" t="shared" si="5" ref="F31:Q31">F14+F15+F19+F20+F21+F22+F23+F28+F29+F30</f>
        <v>6212939</v>
      </c>
      <c r="G31" s="137">
        <f t="shared" si="5"/>
        <v>6624865</v>
      </c>
      <c r="H31" s="137">
        <f t="shared" si="5"/>
        <v>1805916</v>
      </c>
      <c r="I31" s="137">
        <f t="shared" si="5"/>
        <v>4271261</v>
      </c>
      <c r="J31" s="137">
        <f t="shared" si="5"/>
        <v>4387481</v>
      </c>
      <c r="K31" s="137">
        <f t="shared" si="5"/>
        <v>1551542</v>
      </c>
      <c r="L31" s="137">
        <f t="shared" si="5"/>
        <v>1505702</v>
      </c>
      <c r="M31" s="137">
        <f t="shared" si="5"/>
        <v>3385856</v>
      </c>
      <c r="N31" s="137">
        <f t="shared" si="5"/>
        <v>468608</v>
      </c>
      <c r="O31" s="137">
        <f t="shared" si="5"/>
        <v>623151</v>
      </c>
      <c r="P31" s="137">
        <f t="shared" si="5"/>
        <v>865532</v>
      </c>
      <c r="Q31" s="137">
        <f t="shared" si="5"/>
        <v>4261891</v>
      </c>
      <c r="R31" s="138">
        <f t="shared" si="0"/>
        <v>51662229</v>
      </c>
      <c r="S31" s="123"/>
    </row>
    <row r="32" spans="2:19" ht="22.5" customHeight="1">
      <c r="B32" s="123"/>
      <c r="C32" s="148"/>
      <c r="D32" s="126" t="s">
        <v>118</v>
      </c>
      <c r="E32" s="131">
        <v>173519</v>
      </c>
      <c r="F32" s="132">
        <v>25299</v>
      </c>
      <c r="G32" s="132">
        <v>104228</v>
      </c>
      <c r="H32" s="132">
        <v>21440</v>
      </c>
      <c r="I32" s="132">
        <v>34141</v>
      </c>
      <c r="J32" s="132">
        <v>54942</v>
      </c>
      <c r="K32" s="132">
        <v>11439</v>
      </c>
      <c r="L32" s="132">
        <v>17719</v>
      </c>
      <c r="M32" s="132">
        <v>38348</v>
      </c>
      <c r="N32" s="132">
        <v>4260</v>
      </c>
      <c r="O32" s="132">
        <v>3696</v>
      </c>
      <c r="P32" s="132">
        <v>7579</v>
      </c>
      <c r="Q32" s="132">
        <v>19810</v>
      </c>
      <c r="R32" s="130">
        <f t="shared" si="0"/>
        <v>516420</v>
      </c>
      <c r="S32" s="123"/>
    </row>
    <row r="33" spans="2:19" ht="22.5" customHeight="1">
      <c r="B33" s="123"/>
      <c r="C33" s="142"/>
      <c r="D33" s="126" t="s">
        <v>120</v>
      </c>
      <c r="E33" s="131">
        <v>1078938</v>
      </c>
      <c r="F33" s="132">
        <v>90747</v>
      </c>
      <c r="G33" s="132">
        <v>375099</v>
      </c>
      <c r="H33" s="132">
        <v>116792</v>
      </c>
      <c r="I33" s="132">
        <v>129516</v>
      </c>
      <c r="J33" s="132">
        <v>192455</v>
      </c>
      <c r="K33" s="132">
        <v>42586</v>
      </c>
      <c r="L33" s="132">
        <v>40901</v>
      </c>
      <c r="M33" s="132">
        <v>100766</v>
      </c>
      <c r="N33" s="132">
        <v>16088</v>
      </c>
      <c r="O33" s="132">
        <v>13144</v>
      </c>
      <c r="P33" s="132">
        <v>14019</v>
      </c>
      <c r="Q33" s="132">
        <v>47433</v>
      </c>
      <c r="R33" s="130">
        <f t="shared" si="0"/>
        <v>2258484</v>
      </c>
      <c r="S33" s="123"/>
    </row>
    <row r="34" spans="2:19" ht="22.5" customHeight="1">
      <c r="B34" s="125" t="s">
        <v>122</v>
      </c>
      <c r="C34" s="142" t="s">
        <v>119</v>
      </c>
      <c r="D34" s="126" t="s">
        <v>121</v>
      </c>
      <c r="E34" s="131">
        <v>3128958</v>
      </c>
      <c r="F34" s="132">
        <v>811383</v>
      </c>
      <c r="G34" s="132">
        <v>697915</v>
      </c>
      <c r="H34" s="132">
        <v>124140</v>
      </c>
      <c r="I34" s="132">
        <v>430832</v>
      </c>
      <c r="J34" s="132">
        <v>530539</v>
      </c>
      <c r="K34" s="132">
        <v>79075</v>
      </c>
      <c r="L34" s="132">
        <v>57524</v>
      </c>
      <c r="M34" s="132">
        <v>467481</v>
      </c>
      <c r="N34" s="132">
        <v>6533</v>
      </c>
      <c r="O34" s="132">
        <v>17698</v>
      </c>
      <c r="P34" s="132">
        <v>6721</v>
      </c>
      <c r="Q34" s="132">
        <v>286356</v>
      </c>
      <c r="R34" s="130">
        <f t="shared" si="0"/>
        <v>6645155</v>
      </c>
      <c r="S34" s="123"/>
    </row>
    <row r="35" spans="2:19" ht="22.5" customHeight="1">
      <c r="B35" s="125"/>
      <c r="C35" s="148"/>
      <c r="D35" s="126" t="s">
        <v>123</v>
      </c>
      <c r="E35" s="131">
        <v>464931</v>
      </c>
      <c r="F35" s="132">
        <v>40986</v>
      </c>
      <c r="G35" s="132">
        <v>134774</v>
      </c>
      <c r="H35" s="132">
        <v>12328</v>
      </c>
      <c r="I35" s="132">
        <v>106938</v>
      </c>
      <c r="J35" s="132">
        <v>110139</v>
      </c>
      <c r="K35" s="132">
        <v>19823</v>
      </c>
      <c r="L35" s="132">
        <v>19800</v>
      </c>
      <c r="M35" s="132">
        <v>102842</v>
      </c>
      <c r="N35" s="132">
        <v>6568</v>
      </c>
      <c r="O35" s="132">
        <v>9292</v>
      </c>
      <c r="P35" s="132">
        <v>9782</v>
      </c>
      <c r="Q35" s="132">
        <v>19101</v>
      </c>
      <c r="R35" s="130">
        <f t="shared" si="0"/>
        <v>1057304</v>
      </c>
      <c r="S35" s="123"/>
    </row>
    <row r="36" spans="2:19" ht="22.5" customHeight="1">
      <c r="B36" s="123"/>
      <c r="C36" s="148"/>
      <c r="D36" s="126" t="s">
        <v>124</v>
      </c>
      <c r="E36" s="131">
        <v>241191</v>
      </c>
      <c r="F36" s="132">
        <v>12133</v>
      </c>
      <c r="G36" s="132">
        <v>82334</v>
      </c>
      <c r="H36" s="132">
        <v>6783</v>
      </c>
      <c r="I36" s="132">
        <v>72048</v>
      </c>
      <c r="J36" s="132">
        <v>75545</v>
      </c>
      <c r="K36" s="132">
        <v>17456</v>
      </c>
      <c r="L36" s="132">
        <v>12113</v>
      </c>
      <c r="M36" s="132">
        <v>57847</v>
      </c>
      <c r="N36" s="132">
        <v>3680</v>
      </c>
      <c r="O36" s="132">
        <v>5327</v>
      </c>
      <c r="P36" s="132">
        <v>5484</v>
      </c>
      <c r="Q36" s="132">
        <v>7508</v>
      </c>
      <c r="R36" s="130">
        <f t="shared" si="0"/>
        <v>599449</v>
      </c>
      <c r="S36" s="123"/>
    </row>
    <row r="37" spans="2:19" ht="22.5" customHeight="1">
      <c r="B37" s="123"/>
      <c r="C37" s="148"/>
      <c r="D37" s="126" t="s">
        <v>125</v>
      </c>
      <c r="E37" s="131">
        <v>3573776</v>
      </c>
      <c r="F37" s="132">
        <v>2250527</v>
      </c>
      <c r="G37" s="132">
        <v>1959309</v>
      </c>
      <c r="H37" s="132">
        <v>548771</v>
      </c>
      <c r="I37" s="132">
        <v>963453</v>
      </c>
      <c r="J37" s="132">
        <v>1074336</v>
      </c>
      <c r="K37" s="132">
        <v>293654</v>
      </c>
      <c r="L37" s="132">
        <v>363829</v>
      </c>
      <c r="M37" s="132">
        <v>683782</v>
      </c>
      <c r="N37" s="132">
        <v>88424</v>
      </c>
      <c r="O37" s="132">
        <v>274755</v>
      </c>
      <c r="P37" s="132">
        <v>253548</v>
      </c>
      <c r="Q37" s="132">
        <v>1382447</v>
      </c>
      <c r="R37" s="130">
        <f t="shared" si="0"/>
        <v>13710611</v>
      </c>
      <c r="S37" s="123"/>
    </row>
    <row r="38" spans="2:19" ht="22.5" customHeight="1">
      <c r="B38" s="125" t="s">
        <v>126</v>
      </c>
      <c r="C38" s="142" t="s">
        <v>127</v>
      </c>
      <c r="D38" s="126" t="s">
        <v>128</v>
      </c>
      <c r="E38" s="131">
        <v>280513</v>
      </c>
      <c r="F38" s="132">
        <v>118933</v>
      </c>
      <c r="G38" s="132">
        <v>153399</v>
      </c>
      <c r="H38" s="132">
        <v>31803</v>
      </c>
      <c r="I38" s="132">
        <v>74115</v>
      </c>
      <c r="J38" s="132">
        <v>116914</v>
      </c>
      <c r="K38" s="132">
        <v>27614</v>
      </c>
      <c r="L38" s="132">
        <v>44323</v>
      </c>
      <c r="M38" s="132">
        <v>67097</v>
      </c>
      <c r="N38" s="132">
        <v>4223</v>
      </c>
      <c r="O38" s="132">
        <v>32367</v>
      </c>
      <c r="P38" s="132">
        <v>9767</v>
      </c>
      <c r="Q38" s="132">
        <v>103773</v>
      </c>
      <c r="R38" s="130">
        <f t="shared" si="0"/>
        <v>1064841</v>
      </c>
      <c r="S38" s="123"/>
    </row>
    <row r="39" spans="2:19" ht="22.5" customHeight="1">
      <c r="B39" s="123"/>
      <c r="C39" s="142"/>
      <c r="D39" s="148" t="s">
        <v>129</v>
      </c>
      <c r="E39" s="149">
        <v>733363</v>
      </c>
      <c r="F39" s="150">
        <v>123326</v>
      </c>
      <c r="G39" s="150">
        <v>432536</v>
      </c>
      <c r="H39" s="150">
        <v>24167</v>
      </c>
      <c r="I39" s="150">
        <v>37201</v>
      </c>
      <c r="J39" s="150">
        <v>102966</v>
      </c>
      <c r="K39" s="150">
        <v>17278</v>
      </c>
      <c r="L39" s="150">
        <v>7747</v>
      </c>
      <c r="M39" s="150">
        <v>50550</v>
      </c>
      <c r="N39" s="150">
        <v>21521</v>
      </c>
      <c r="O39" s="150">
        <v>13708</v>
      </c>
      <c r="P39" s="150">
        <v>9647</v>
      </c>
      <c r="Q39" s="150">
        <v>242747</v>
      </c>
      <c r="R39" s="151">
        <f t="shared" si="0"/>
        <v>1816757</v>
      </c>
      <c r="S39" s="123"/>
    </row>
    <row r="40" spans="2:19" ht="22.5" customHeight="1">
      <c r="B40" s="123"/>
      <c r="C40" s="152"/>
      <c r="D40" s="153" t="s">
        <v>356</v>
      </c>
      <c r="E40" s="154">
        <f>E32+E33+E34+E35+E36+E37+E38+E39</f>
        <v>9675189</v>
      </c>
      <c r="F40" s="155">
        <f aca="true" t="shared" si="6" ref="F40:Q40">F32+F33+F34+F35+F36+F37+F38+F39</f>
        <v>3473334</v>
      </c>
      <c r="G40" s="155">
        <f t="shared" si="6"/>
        <v>3939594</v>
      </c>
      <c r="H40" s="155">
        <f t="shared" si="6"/>
        <v>886224</v>
      </c>
      <c r="I40" s="155">
        <f t="shared" si="6"/>
        <v>1848244</v>
      </c>
      <c r="J40" s="155">
        <f t="shared" si="6"/>
        <v>2257836</v>
      </c>
      <c r="K40" s="155">
        <f t="shared" si="6"/>
        <v>508925</v>
      </c>
      <c r="L40" s="155">
        <f t="shared" si="6"/>
        <v>563956</v>
      </c>
      <c r="M40" s="155">
        <f t="shared" si="6"/>
        <v>1568713</v>
      </c>
      <c r="N40" s="155">
        <f t="shared" si="6"/>
        <v>151297</v>
      </c>
      <c r="O40" s="155">
        <f t="shared" si="6"/>
        <v>369987</v>
      </c>
      <c r="P40" s="155">
        <f t="shared" si="6"/>
        <v>316547</v>
      </c>
      <c r="Q40" s="155">
        <f t="shared" si="6"/>
        <v>2109175</v>
      </c>
      <c r="R40" s="156">
        <f t="shared" si="0"/>
        <v>27669021</v>
      </c>
      <c r="S40" s="123"/>
    </row>
    <row r="41" spans="2:19" ht="22.5" customHeight="1">
      <c r="B41" s="123"/>
      <c r="C41" s="148"/>
      <c r="D41" s="126" t="s">
        <v>130</v>
      </c>
      <c r="E41" s="131">
        <v>187812</v>
      </c>
      <c r="F41" s="132">
        <v>49646</v>
      </c>
      <c r="G41" s="132">
        <v>46555</v>
      </c>
      <c r="H41" s="132">
        <v>34568</v>
      </c>
      <c r="I41" s="132">
        <v>33122</v>
      </c>
      <c r="J41" s="132">
        <v>48243</v>
      </c>
      <c r="K41" s="132">
        <v>14164</v>
      </c>
      <c r="L41" s="132">
        <v>7925</v>
      </c>
      <c r="M41" s="132">
        <v>30361</v>
      </c>
      <c r="N41" s="132">
        <v>5296</v>
      </c>
      <c r="O41" s="132">
        <v>9199</v>
      </c>
      <c r="P41" s="132">
        <v>8284</v>
      </c>
      <c r="Q41" s="132">
        <v>47760</v>
      </c>
      <c r="R41" s="130">
        <f t="shared" si="0"/>
        <v>522935</v>
      </c>
      <c r="S41" s="123"/>
    </row>
    <row r="42" spans="2:19" ht="22.5" customHeight="1">
      <c r="B42" s="125" t="s">
        <v>131</v>
      </c>
      <c r="C42" s="142"/>
      <c r="D42" s="126" t="s">
        <v>133</v>
      </c>
      <c r="E42" s="131">
        <v>929762</v>
      </c>
      <c r="F42" s="132">
        <v>91580</v>
      </c>
      <c r="G42" s="132">
        <v>78721</v>
      </c>
      <c r="H42" s="132">
        <v>80659</v>
      </c>
      <c r="I42" s="132">
        <v>41271</v>
      </c>
      <c r="J42" s="132">
        <v>84506</v>
      </c>
      <c r="K42" s="132">
        <v>25900</v>
      </c>
      <c r="L42" s="132">
        <v>60144</v>
      </c>
      <c r="M42" s="132">
        <v>47644</v>
      </c>
      <c r="N42" s="132">
        <v>15540</v>
      </c>
      <c r="O42" s="132">
        <v>39693</v>
      </c>
      <c r="P42" s="132">
        <v>69580</v>
      </c>
      <c r="Q42" s="132">
        <v>56259</v>
      </c>
      <c r="R42" s="130">
        <f t="shared" si="0"/>
        <v>1621259</v>
      </c>
      <c r="S42" s="123"/>
    </row>
    <row r="43" spans="2:19" ht="22.5" customHeight="1">
      <c r="B43" s="123"/>
      <c r="C43" s="142" t="s">
        <v>132</v>
      </c>
      <c r="D43" s="126" t="s">
        <v>118</v>
      </c>
      <c r="E43" s="131">
        <v>623959</v>
      </c>
      <c r="F43" s="132">
        <v>93808</v>
      </c>
      <c r="G43" s="132">
        <v>280960</v>
      </c>
      <c r="H43" s="132">
        <v>6904</v>
      </c>
      <c r="I43" s="132">
        <v>28028</v>
      </c>
      <c r="J43" s="132">
        <v>51599</v>
      </c>
      <c r="K43" s="132">
        <v>162917</v>
      </c>
      <c r="L43" s="132">
        <v>10409</v>
      </c>
      <c r="M43" s="132">
        <v>1308</v>
      </c>
      <c r="N43" s="132">
        <v>14699</v>
      </c>
      <c r="O43" s="132">
        <v>2426</v>
      </c>
      <c r="P43" s="132">
        <v>14573</v>
      </c>
      <c r="Q43" s="132">
        <v>63658</v>
      </c>
      <c r="R43" s="130">
        <f t="shared" si="0"/>
        <v>1355248</v>
      </c>
      <c r="S43" s="123"/>
    </row>
    <row r="44" spans="2:19" ht="22.5" customHeight="1">
      <c r="B44" s="123"/>
      <c r="C44" s="148"/>
      <c r="D44" s="126" t="s">
        <v>120</v>
      </c>
      <c r="E44" s="131">
        <v>716896</v>
      </c>
      <c r="F44" s="132">
        <v>224331</v>
      </c>
      <c r="G44" s="132">
        <v>305798</v>
      </c>
      <c r="H44" s="132">
        <v>66555</v>
      </c>
      <c r="I44" s="132">
        <v>42624</v>
      </c>
      <c r="J44" s="132">
        <v>130576</v>
      </c>
      <c r="K44" s="132">
        <v>25437</v>
      </c>
      <c r="L44" s="132">
        <v>43293</v>
      </c>
      <c r="M44" s="132">
        <v>142276</v>
      </c>
      <c r="N44" s="132">
        <v>5222</v>
      </c>
      <c r="O44" s="132">
        <v>5303</v>
      </c>
      <c r="P44" s="132">
        <v>15244</v>
      </c>
      <c r="Q44" s="132">
        <v>123920</v>
      </c>
      <c r="R44" s="130">
        <f t="shared" si="0"/>
        <v>1847475</v>
      </c>
      <c r="S44" s="123"/>
    </row>
    <row r="45" spans="2:19" ht="22.5" customHeight="1">
      <c r="B45" s="125"/>
      <c r="C45" s="148"/>
      <c r="D45" s="126" t="s">
        <v>121</v>
      </c>
      <c r="E45" s="131">
        <v>419776</v>
      </c>
      <c r="F45" s="132">
        <v>322256</v>
      </c>
      <c r="G45" s="132">
        <v>306187</v>
      </c>
      <c r="H45" s="132">
        <v>75455</v>
      </c>
      <c r="I45" s="132">
        <v>128103</v>
      </c>
      <c r="J45" s="132">
        <v>480861</v>
      </c>
      <c r="K45" s="132">
        <v>266725</v>
      </c>
      <c r="L45" s="132">
        <v>71095</v>
      </c>
      <c r="M45" s="132">
        <v>342343</v>
      </c>
      <c r="N45" s="132">
        <v>2348</v>
      </c>
      <c r="O45" s="132">
        <v>6448</v>
      </c>
      <c r="P45" s="132">
        <v>6292</v>
      </c>
      <c r="Q45" s="132">
        <v>292617</v>
      </c>
      <c r="R45" s="130">
        <f t="shared" si="0"/>
        <v>2720506</v>
      </c>
      <c r="S45" s="123"/>
    </row>
    <row r="46" spans="2:19" ht="22.5" customHeight="1">
      <c r="B46" s="125" t="s">
        <v>119</v>
      </c>
      <c r="C46" s="148"/>
      <c r="D46" s="126" t="s">
        <v>123</v>
      </c>
      <c r="E46" s="131">
        <v>1129816</v>
      </c>
      <c r="F46" s="132">
        <v>374511</v>
      </c>
      <c r="G46" s="132">
        <v>367323</v>
      </c>
      <c r="H46" s="132">
        <v>112948</v>
      </c>
      <c r="I46" s="132">
        <v>174371</v>
      </c>
      <c r="J46" s="132">
        <v>208728</v>
      </c>
      <c r="K46" s="132">
        <v>41949</v>
      </c>
      <c r="L46" s="132">
        <v>48989</v>
      </c>
      <c r="M46" s="132">
        <v>176020</v>
      </c>
      <c r="N46" s="132">
        <v>24906</v>
      </c>
      <c r="O46" s="132">
        <v>31626</v>
      </c>
      <c r="P46" s="132">
        <v>57221</v>
      </c>
      <c r="Q46" s="132">
        <v>202901</v>
      </c>
      <c r="R46" s="130">
        <f t="shared" si="0"/>
        <v>2951309</v>
      </c>
      <c r="S46" s="123"/>
    </row>
    <row r="47" spans="2:19" ht="22.5" customHeight="1">
      <c r="B47" s="123"/>
      <c r="C47" s="142" t="s">
        <v>134</v>
      </c>
      <c r="D47" s="126" t="s">
        <v>124</v>
      </c>
      <c r="E47" s="131">
        <v>848034</v>
      </c>
      <c r="F47" s="132">
        <v>326821</v>
      </c>
      <c r="G47" s="132">
        <v>227031</v>
      </c>
      <c r="H47" s="132">
        <v>82609</v>
      </c>
      <c r="I47" s="132">
        <v>141466</v>
      </c>
      <c r="J47" s="132">
        <v>139448</v>
      </c>
      <c r="K47" s="132">
        <v>34349</v>
      </c>
      <c r="L47" s="132">
        <v>23168</v>
      </c>
      <c r="M47" s="132">
        <v>166923</v>
      </c>
      <c r="N47" s="132">
        <v>3160</v>
      </c>
      <c r="O47" s="132">
        <v>20338</v>
      </c>
      <c r="P47" s="132">
        <v>19881</v>
      </c>
      <c r="Q47" s="132">
        <v>114841</v>
      </c>
      <c r="R47" s="130">
        <f t="shared" si="0"/>
        <v>2148069</v>
      </c>
      <c r="S47" s="123"/>
    </row>
    <row r="48" spans="2:19" ht="22.5" customHeight="1">
      <c r="B48" s="123"/>
      <c r="C48" s="142"/>
      <c r="D48" s="148" t="s">
        <v>129</v>
      </c>
      <c r="E48" s="149">
        <v>203637</v>
      </c>
      <c r="F48" s="150">
        <v>193538</v>
      </c>
      <c r="G48" s="150">
        <v>257590</v>
      </c>
      <c r="H48" s="150">
        <v>28926</v>
      </c>
      <c r="I48" s="150">
        <v>154976</v>
      </c>
      <c r="J48" s="150">
        <v>254123</v>
      </c>
      <c r="K48" s="150">
        <v>64181</v>
      </c>
      <c r="L48" s="150">
        <v>101186</v>
      </c>
      <c r="M48" s="150">
        <v>130094</v>
      </c>
      <c r="N48" s="150">
        <v>82284</v>
      </c>
      <c r="O48" s="150">
        <v>21092</v>
      </c>
      <c r="P48" s="150">
        <v>60991</v>
      </c>
      <c r="Q48" s="150">
        <v>198334</v>
      </c>
      <c r="R48" s="151">
        <f t="shared" si="0"/>
        <v>1750952</v>
      </c>
      <c r="S48" s="123"/>
    </row>
    <row r="49" spans="2:19" ht="22.5" customHeight="1" thickBot="1">
      <c r="B49" s="124"/>
      <c r="C49" s="157"/>
      <c r="D49" s="158" t="s">
        <v>356</v>
      </c>
      <c r="E49" s="159">
        <f aca="true" t="shared" si="7" ref="E49:P49">E41+E42+E43+E44+E45+E46+E47+E48</f>
        <v>5059692</v>
      </c>
      <c r="F49" s="160">
        <f t="shared" si="7"/>
        <v>1676491</v>
      </c>
      <c r="G49" s="160">
        <f t="shared" si="7"/>
        <v>1870165</v>
      </c>
      <c r="H49" s="160">
        <f t="shared" si="7"/>
        <v>488624</v>
      </c>
      <c r="I49" s="160">
        <f t="shared" si="7"/>
        <v>743961</v>
      </c>
      <c r="J49" s="160">
        <f t="shared" si="7"/>
        <v>1398084</v>
      </c>
      <c r="K49" s="160">
        <f t="shared" si="7"/>
        <v>635622</v>
      </c>
      <c r="L49" s="160">
        <f t="shared" si="7"/>
        <v>366209</v>
      </c>
      <c r="M49" s="160">
        <f t="shared" si="7"/>
        <v>1036969</v>
      </c>
      <c r="N49" s="160">
        <f t="shared" si="7"/>
        <v>153455</v>
      </c>
      <c r="O49" s="160">
        <f t="shared" si="7"/>
        <v>136125</v>
      </c>
      <c r="P49" s="160">
        <f t="shared" si="7"/>
        <v>252066</v>
      </c>
      <c r="Q49" s="160">
        <f>Q41+Q42+Q43+Q44+Q45+Q46+Q47+Q48</f>
        <v>1100290</v>
      </c>
      <c r="R49" s="161">
        <f>SUM(E49:Q49)</f>
        <v>14917753</v>
      </c>
      <c r="S49" s="123"/>
    </row>
  </sheetData>
  <mergeCells count="1">
    <mergeCell ref="H6:H7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75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17" width="13.08203125" style="165" customWidth="1"/>
    <col min="18" max="18" width="13.16015625" style="165" customWidth="1"/>
    <col min="19" max="19" width="1.66015625" style="165" customWidth="1"/>
    <col min="20" max="20" width="2.66015625" style="165" customWidth="1"/>
    <col min="21" max="16384" width="8.66015625" style="165" customWidth="1"/>
  </cols>
  <sheetData>
    <row r="1" ht="18" customHeight="1">
      <c r="B1" s="166" t="s">
        <v>0</v>
      </c>
    </row>
    <row r="2" ht="18" customHeight="1"/>
    <row r="3" spans="2:18" ht="18" customHeight="1" thickBot="1">
      <c r="B3" s="167" t="s">
        <v>135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136</v>
      </c>
    </row>
    <row r="4" spans="2:19" ht="18" customHeight="1">
      <c r="B4" s="164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69"/>
      <c r="S4" s="164"/>
    </row>
    <row r="5" spans="2:19" ht="18" customHeight="1">
      <c r="B5" s="164"/>
      <c r="D5" s="165" t="s">
        <v>137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240</v>
      </c>
      <c r="M5" s="76" t="s">
        <v>241</v>
      </c>
      <c r="N5" s="76" t="s">
        <v>242</v>
      </c>
      <c r="O5" s="76" t="s">
        <v>10</v>
      </c>
      <c r="P5" s="76" t="s">
        <v>243</v>
      </c>
      <c r="Q5" s="76" t="s">
        <v>11</v>
      </c>
      <c r="R5" s="169"/>
      <c r="S5" s="164"/>
    </row>
    <row r="6" spans="2:19" ht="18" customHeight="1">
      <c r="B6" s="164"/>
      <c r="E6" s="73"/>
      <c r="F6" s="74"/>
      <c r="G6" s="74"/>
      <c r="H6" s="462" t="s">
        <v>494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164"/>
    </row>
    <row r="7" spans="2:19" ht="18" customHeight="1">
      <c r="B7" s="164"/>
      <c r="C7" s="165" t="s">
        <v>59</v>
      </c>
      <c r="E7" s="73" t="s">
        <v>357</v>
      </c>
      <c r="F7" s="74" t="s">
        <v>357</v>
      </c>
      <c r="G7" s="74"/>
      <c r="H7" s="463"/>
      <c r="I7" s="74"/>
      <c r="J7" s="74"/>
      <c r="K7" s="74" t="s">
        <v>357</v>
      </c>
      <c r="L7" s="77" t="s">
        <v>358</v>
      </c>
      <c r="M7" s="74" t="s">
        <v>359</v>
      </c>
      <c r="N7" s="74" t="s">
        <v>14</v>
      </c>
      <c r="O7" s="74" t="s">
        <v>14</v>
      </c>
      <c r="P7" s="74" t="s">
        <v>360</v>
      </c>
      <c r="Q7" s="74"/>
      <c r="R7" s="169"/>
      <c r="S7" s="164"/>
    </row>
    <row r="8" spans="2:19" ht="18" customHeight="1" thickBot="1">
      <c r="B8" s="171"/>
      <c r="C8" s="167"/>
      <c r="D8" s="167"/>
      <c r="E8" s="118" t="s">
        <v>361</v>
      </c>
      <c r="F8" s="81" t="s">
        <v>362</v>
      </c>
      <c r="G8" s="81" t="s">
        <v>15</v>
      </c>
      <c r="H8" s="81" t="s">
        <v>16</v>
      </c>
      <c r="I8" s="81" t="s">
        <v>321</v>
      </c>
      <c r="J8" s="81" t="s">
        <v>17</v>
      </c>
      <c r="K8" s="81" t="s">
        <v>18</v>
      </c>
      <c r="L8" s="81" t="s">
        <v>320</v>
      </c>
      <c r="M8" s="81" t="s">
        <v>339</v>
      </c>
      <c r="N8" s="81" t="s">
        <v>60</v>
      </c>
      <c r="O8" s="81" t="s">
        <v>61</v>
      </c>
      <c r="P8" s="81" t="s">
        <v>246</v>
      </c>
      <c r="Q8" s="81" t="s">
        <v>19</v>
      </c>
      <c r="R8" s="172"/>
      <c r="S8" s="164"/>
    </row>
    <row r="9" spans="2:19" ht="18" customHeight="1">
      <c r="B9" s="162" t="s">
        <v>303</v>
      </c>
      <c r="C9" s="163"/>
      <c r="D9" s="163"/>
      <c r="E9" s="173">
        <f aca="true" t="shared" si="0" ref="E9:Q9">E10+E15+E16</f>
        <v>9074353</v>
      </c>
      <c r="F9" s="174">
        <f t="shared" si="0"/>
        <v>3377613</v>
      </c>
      <c r="G9" s="174">
        <f t="shared" si="0"/>
        <v>8156562</v>
      </c>
      <c r="H9" s="174">
        <f t="shared" si="0"/>
        <v>1111727</v>
      </c>
      <c r="I9" s="174">
        <f t="shared" si="0"/>
        <v>7763414</v>
      </c>
      <c r="J9" s="174">
        <f t="shared" si="0"/>
        <v>4322355</v>
      </c>
      <c r="K9" s="174">
        <f t="shared" si="0"/>
        <v>2368142</v>
      </c>
      <c r="L9" s="175">
        <f t="shared" si="0"/>
        <v>1989786</v>
      </c>
      <c r="M9" s="174">
        <f t="shared" si="0"/>
        <v>2667505</v>
      </c>
      <c r="N9" s="174">
        <f t="shared" si="0"/>
        <v>379914</v>
      </c>
      <c r="O9" s="174">
        <f t="shared" si="0"/>
        <v>1067273</v>
      </c>
      <c r="P9" s="174">
        <f t="shared" si="0"/>
        <v>410969</v>
      </c>
      <c r="Q9" s="174">
        <f t="shared" si="0"/>
        <v>5891554</v>
      </c>
      <c r="R9" s="174">
        <f>SUM(E9:Q9)</f>
        <v>48581167</v>
      </c>
      <c r="S9" s="164"/>
    </row>
    <row r="10" spans="2:19" ht="18" customHeight="1">
      <c r="B10" s="164"/>
      <c r="C10" s="176" t="s">
        <v>304</v>
      </c>
      <c r="D10" s="177"/>
      <c r="E10" s="178">
        <f>E11+E12-E13+E14</f>
        <v>9037276</v>
      </c>
      <c r="F10" s="179">
        <f aca="true" t="shared" si="1" ref="F10:Q10">F11+F12-F13+F14</f>
        <v>3371306</v>
      </c>
      <c r="G10" s="179">
        <f t="shared" si="1"/>
        <v>8156562</v>
      </c>
      <c r="H10" s="179">
        <f t="shared" si="1"/>
        <v>1107024</v>
      </c>
      <c r="I10" s="179">
        <f t="shared" si="1"/>
        <v>7760634</v>
      </c>
      <c r="J10" s="179">
        <f t="shared" si="1"/>
        <v>4306233</v>
      </c>
      <c r="K10" s="179">
        <f t="shared" si="1"/>
        <v>2363812</v>
      </c>
      <c r="L10" s="179">
        <f t="shared" si="1"/>
        <v>1987963</v>
      </c>
      <c r="M10" s="179">
        <f t="shared" si="1"/>
        <v>2662892</v>
      </c>
      <c r="N10" s="179">
        <f t="shared" si="1"/>
        <v>379759</v>
      </c>
      <c r="O10" s="179">
        <f t="shared" si="1"/>
        <v>1066597</v>
      </c>
      <c r="P10" s="179">
        <f t="shared" si="1"/>
        <v>410969</v>
      </c>
      <c r="Q10" s="179">
        <f t="shared" si="1"/>
        <v>5084137</v>
      </c>
      <c r="R10" s="180">
        <f>SUM(E10:Q10)</f>
        <v>47695164</v>
      </c>
      <c r="S10" s="164"/>
    </row>
    <row r="11" spans="2:19" ht="18" customHeight="1">
      <c r="B11" s="164"/>
      <c r="D11" s="177" t="s">
        <v>138</v>
      </c>
      <c r="E11" s="181">
        <v>2761760</v>
      </c>
      <c r="F11" s="182">
        <v>1124709</v>
      </c>
      <c r="G11" s="182">
        <v>890559</v>
      </c>
      <c r="H11" s="182">
        <v>28814</v>
      </c>
      <c r="I11" s="182">
        <v>1346497</v>
      </c>
      <c r="J11" s="182">
        <v>398381</v>
      </c>
      <c r="K11" s="182">
        <v>350756</v>
      </c>
      <c r="L11" s="182">
        <v>149265</v>
      </c>
      <c r="M11" s="182">
        <v>534153</v>
      </c>
      <c r="N11" s="182">
        <v>7435</v>
      </c>
      <c r="O11" s="182">
        <v>12954</v>
      </c>
      <c r="P11" s="182">
        <v>38532</v>
      </c>
      <c r="Q11" s="182">
        <v>311324</v>
      </c>
      <c r="R11" s="183">
        <f aca="true" t="shared" si="2" ref="R11:R40">SUM(E11:Q11)</f>
        <v>7955139</v>
      </c>
      <c r="S11" s="164"/>
    </row>
    <row r="12" spans="2:19" ht="18" customHeight="1">
      <c r="B12" s="164"/>
      <c r="D12" s="177" t="s">
        <v>139</v>
      </c>
      <c r="E12" s="181">
        <v>17956247</v>
      </c>
      <c r="F12" s="182">
        <v>9035825</v>
      </c>
      <c r="G12" s="182">
        <v>15909065</v>
      </c>
      <c r="H12" s="182">
        <v>3177076</v>
      </c>
      <c r="I12" s="182">
        <v>15148500</v>
      </c>
      <c r="J12" s="182">
        <v>8472918</v>
      </c>
      <c r="K12" s="182">
        <v>4658288</v>
      </c>
      <c r="L12" s="182">
        <v>3408197</v>
      </c>
      <c r="M12" s="182">
        <v>6206398</v>
      </c>
      <c r="N12" s="182">
        <v>721378</v>
      </c>
      <c r="O12" s="182">
        <v>1342434</v>
      </c>
      <c r="P12" s="182">
        <v>1215614</v>
      </c>
      <c r="Q12" s="182">
        <v>8931237</v>
      </c>
      <c r="R12" s="183">
        <f t="shared" si="2"/>
        <v>96183177</v>
      </c>
      <c r="S12" s="164"/>
    </row>
    <row r="13" spans="2:19" ht="18" customHeight="1">
      <c r="B13" s="164"/>
      <c r="D13" s="177" t="s">
        <v>140</v>
      </c>
      <c r="E13" s="181">
        <v>11893383</v>
      </c>
      <c r="F13" s="182">
        <v>6789228</v>
      </c>
      <c r="G13" s="182">
        <v>8643062</v>
      </c>
      <c r="H13" s="182">
        <v>2098866</v>
      </c>
      <c r="I13" s="182">
        <v>8734363</v>
      </c>
      <c r="J13" s="182">
        <v>4565066</v>
      </c>
      <c r="K13" s="182">
        <v>2645232</v>
      </c>
      <c r="L13" s="182">
        <v>1569499</v>
      </c>
      <c r="M13" s="182">
        <v>4077659</v>
      </c>
      <c r="N13" s="182">
        <v>349054</v>
      </c>
      <c r="O13" s="182">
        <v>288791</v>
      </c>
      <c r="P13" s="182">
        <v>843177</v>
      </c>
      <c r="Q13" s="182">
        <v>4164874</v>
      </c>
      <c r="R13" s="183">
        <f t="shared" si="2"/>
        <v>56662254</v>
      </c>
      <c r="S13" s="164"/>
    </row>
    <row r="14" spans="2:19" ht="18" customHeight="1">
      <c r="B14" s="164"/>
      <c r="D14" s="177" t="s">
        <v>141</v>
      </c>
      <c r="E14" s="181">
        <v>212652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6450</v>
      </c>
      <c r="R14" s="183">
        <f t="shared" si="2"/>
        <v>219102</v>
      </c>
      <c r="S14" s="164"/>
    </row>
    <row r="15" spans="2:19" ht="18" customHeight="1">
      <c r="B15" s="164"/>
      <c r="C15" s="184" t="s">
        <v>305</v>
      </c>
      <c r="D15" s="163"/>
      <c r="E15" s="185">
        <v>3443</v>
      </c>
      <c r="F15" s="186">
        <v>4807</v>
      </c>
      <c r="G15" s="186">
        <v>0</v>
      </c>
      <c r="H15" s="186">
        <v>603</v>
      </c>
      <c r="I15" s="186">
        <v>2780</v>
      </c>
      <c r="J15" s="186">
        <v>3479</v>
      </c>
      <c r="K15" s="186">
        <v>940</v>
      </c>
      <c r="L15" s="186">
        <v>1823</v>
      </c>
      <c r="M15" s="186">
        <v>4613</v>
      </c>
      <c r="N15" s="186">
        <v>155</v>
      </c>
      <c r="O15" s="186">
        <v>676</v>
      </c>
      <c r="P15" s="186">
        <v>0</v>
      </c>
      <c r="Q15" s="186">
        <v>1637</v>
      </c>
      <c r="R15" s="187">
        <f t="shared" si="2"/>
        <v>24956</v>
      </c>
      <c r="S15" s="164"/>
    </row>
    <row r="16" spans="2:19" ht="18" customHeight="1">
      <c r="B16" s="188"/>
      <c r="C16" s="184" t="s">
        <v>306</v>
      </c>
      <c r="D16" s="163"/>
      <c r="E16" s="173">
        <v>33634</v>
      </c>
      <c r="F16" s="174">
        <v>1500</v>
      </c>
      <c r="G16" s="174">
        <v>0</v>
      </c>
      <c r="H16" s="174">
        <v>4100</v>
      </c>
      <c r="I16" s="174">
        <v>0</v>
      </c>
      <c r="J16" s="174">
        <v>12643</v>
      </c>
      <c r="K16" s="174">
        <v>3390</v>
      </c>
      <c r="L16" s="189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805780</v>
      </c>
      <c r="R16" s="174">
        <f t="shared" si="2"/>
        <v>861047</v>
      </c>
      <c r="S16" s="164"/>
    </row>
    <row r="17" spans="2:19" ht="18" customHeight="1">
      <c r="B17" s="162" t="s">
        <v>307</v>
      </c>
      <c r="C17" s="163"/>
      <c r="D17" s="163"/>
      <c r="E17" s="173">
        <f>E18+E19+E20+E21+E22</f>
        <v>7434003</v>
      </c>
      <c r="F17" s="174">
        <f aca="true" t="shared" si="3" ref="F17:Q17">F18+F19+F20+F21+F22</f>
        <v>1158694</v>
      </c>
      <c r="G17" s="174">
        <f t="shared" si="3"/>
        <v>1134130</v>
      </c>
      <c r="H17" s="174">
        <f t="shared" si="3"/>
        <v>618570</v>
      </c>
      <c r="I17" s="174">
        <f t="shared" si="3"/>
        <v>588703</v>
      </c>
      <c r="J17" s="174">
        <f t="shared" si="3"/>
        <v>898457</v>
      </c>
      <c r="K17" s="174">
        <f t="shared" si="3"/>
        <v>1609382</v>
      </c>
      <c r="L17" s="189">
        <f t="shared" si="3"/>
        <v>275009</v>
      </c>
      <c r="M17" s="174">
        <f t="shared" si="3"/>
        <v>727385</v>
      </c>
      <c r="N17" s="174">
        <f t="shared" si="3"/>
        <v>284101</v>
      </c>
      <c r="O17" s="174">
        <f t="shared" si="3"/>
        <v>310284</v>
      </c>
      <c r="P17" s="174">
        <f t="shared" si="3"/>
        <v>144148</v>
      </c>
      <c r="Q17" s="174">
        <f t="shared" si="3"/>
        <v>1703584</v>
      </c>
      <c r="R17" s="174">
        <f t="shared" si="2"/>
        <v>16886450</v>
      </c>
      <c r="S17" s="164"/>
    </row>
    <row r="18" spans="2:19" ht="18" customHeight="1">
      <c r="B18" s="164"/>
      <c r="C18" s="163" t="s">
        <v>142</v>
      </c>
      <c r="D18" s="163"/>
      <c r="E18" s="173">
        <v>4831992</v>
      </c>
      <c r="F18" s="174">
        <v>217008</v>
      </c>
      <c r="G18" s="174">
        <v>121533</v>
      </c>
      <c r="H18" s="174">
        <v>106765</v>
      </c>
      <c r="I18" s="174">
        <v>11921</v>
      </c>
      <c r="J18" s="174">
        <v>219762</v>
      </c>
      <c r="K18" s="174">
        <v>827749</v>
      </c>
      <c r="L18" s="189">
        <v>108686</v>
      </c>
      <c r="M18" s="174">
        <v>289849</v>
      </c>
      <c r="N18" s="174">
        <v>228470</v>
      </c>
      <c r="O18" s="174">
        <v>168221</v>
      </c>
      <c r="P18" s="174">
        <v>94833</v>
      </c>
      <c r="Q18" s="174">
        <v>965753</v>
      </c>
      <c r="R18" s="174">
        <f t="shared" si="2"/>
        <v>8192542</v>
      </c>
      <c r="S18" s="164"/>
    </row>
    <row r="19" spans="2:19" ht="18" customHeight="1">
      <c r="B19" s="164"/>
      <c r="C19" s="163" t="s">
        <v>143</v>
      </c>
      <c r="D19" s="163"/>
      <c r="E19" s="173">
        <v>2415572</v>
      </c>
      <c r="F19" s="174">
        <v>919145</v>
      </c>
      <c r="G19" s="174">
        <v>954025</v>
      </c>
      <c r="H19" s="174">
        <v>460295</v>
      </c>
      <c r="I19" s="174">
        <v>543335</v>
      </c>
      <c r="J19" s="174">
        <v>610822</v>
      </c>
      <c r="K19" s="174">
        <v>478397</v>
      </c>
      <c r="L19" s="189">
        <v>159706</v>
      </c>
      <c r="M19" s="174">
        <v>430875</v>
      </c>
      <c r="N19" s="174">
        <v>48370</v>
      </c>
      <c r="O19" s="174">
        <v>139670</v>
      </c>
      <c r="P19" s="174">
        <v>39447</v>
      </c>
      <c r="Q19" s="174">
        <v>728018</v>
      </c>
      <c r="R19" s="174">
        <f t="shared" si="2"/>
        <v>7927677</v>
      </c>
      <c r="S19" s="164"/>
    </row>
    <row r="20" spans="2:19" ht="18" customHeight="1">
      <c r="B20" s="164"/>
      <c r="C20" s="163" t="s">
        <v>144</v>
      </c>
      <c r="D20" s="163"/>
      <c r="E20" s="173">
        <v>178125</v>
      </c>
      <c r="F20" s="174">
        <v>22541</v>
      </c>
      <c r="G20" s="174">
        <v>58572</v>
      </c>
      <c r="H20" s="174">
        <v>51510</v>
      </c>
      <c r="I20" s="174">
        <v>28447</v>
      </c>
      <c r="J20" s="174">
        <v>67873</v>
      </c>
      <c r="K20" s="174">
        <v>3536</v>
      </c>
      <c r="L20" s="189">
        <v>6617</v>
      </c>
      <c r="M20" s="174">
        <v>6661</v>
      </c>
      <c r="N20" s="174">
        <v>7261</v>
      </c>
      <c r="O20" s="174">
        <v>2393</v>
      </c>
      <c r="P20" s="174">
        <v>9534</v>
      </c>
      <c r="Q20" s="174">
        <v>9745</v>
      </c>
      <c r="R20" s="174">
        <f t="shared" si="2"/>
        <v>452815</v>
      </c>
      <c r="S20" s="164"/>
    </row>
    <row r="21" spans="2:19" ht="18" customHeight="1">
      <c r="B21" s="164"/>
      <c r="C21" s="163" t="s">
        <v>145</v>
      </c>
      <c r="D21" s="163"/>
      <c r="E21" s="173">
        <v>0</v>
      </c>
      <c r="F21" s="174">
        <v>0</v>
      </c>
      <c r="G21" s="174">
        <v>0</v>
      </c>
      <c r="H21" s="174">
        <v>0</v>
      </c>
      <c r="I21" s="174">
        <v>5000</v>
      </c>
      <c r="J21" s="174">
        <v>0</v>
      </c>
      <c r="K21" s="174">
        <v>299700</v>
      </c>
      <c r="L21" s="189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68</v>
      </c>
      <c r="R21" s="174">
        <f t="shared" si="2"/>
        <v>304768</v>
      </c>
      <c r="S21" s="164"/>
    </row>
    <row r="22" spans="2:19" ht="18" customHeight="1">
      <c r="B22" s="188"/>
      <c r="C22" s="184" t="s">
        <v>363</v>
      </c>
      <c r="D22" s="163"/>
      <c r="E22" s="173">
        <v>8314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89">
        <v>0</v>
      </c>
      <c r="M22" s="174">
        <v>0</v>
      </c>
      <c r="N22" s="174">
        <v>0</v>
      </c>
      <c r="O22" s="174">
        <v>0</v>
      </c>
      <c r="P22" s="174">
        <v>334</v>
      </c>
      <c r="Q22" s="174">
        <v>0</v>
      </c>
      <c r="R22" s="174">
        <f t="shared" si="2"/>
        <v>8648</v>
      </c>
      <c r="S22" s="164"/>
    </row>
    <row r="23" spans="2:19" ht="18" customHeight="1">
      <c r="B23" s="190" t="s">
        <v>308</v>
      </c>
      <c r="C23" s="163"/>
      <c r="D23" s="163"/>
      <c r="E23" s="173">
        <v>652415</v>
      </c>
      <c r="F23" s="174">
        <v>95421</v>
      </c>
      <c r="G23" s="174">
        <v>54521</v>
      </c>
      <c r="H23" s="174">
        <v>0</v>
      </c>
      <c r="I23" s="174">
        <v>0</v>
      </c>
      <c r="J23" s="174">
        <v>47975</v>
      </c>
      <c r="K23" s="174">
        <v>4238</v>
      </c>
      <c r="L23" s="189">
        <v>0</v>
      </c>
      <c r="M23" s="174">
        <v>0</v>
      </c>
      <c r="N23" s="174">
        <v>0</v>
      </c>
      <c r="O23" s="174">
        <v>42821</v>
      </c>
      <c r="P23" s="174">
        <v>0</v>
      </c>
      <c r="Q23" s="174">
        <v>95855</v>
      </c>
      <c r="R23" s="174">
        <f t="shared" si="2"/>
        <v>993246</v>
      </c>
      <c r="S23" s="164"/>
    </row>
    <row r="24" spans="2:19" ht="18" customHeight="1">
      <c r="B24" s="188" t="s">
        <v>146</v>
      </c>
      <c r="C24" s="163"/>
      <c r="D24" s="163"/>
      <c r="E24" s="173">
        <f aca="true" t="shared" si="4" ref="E24:Q24">E9+E17+E23</f>
        <v>17160771</v>
      </c>
      <c r="F24" s="174">
        <f t="shared" si="4"/>
        <v>4631728</v>
      </c>
      <c r="G24" s="174">
        <f t="shared" si="4"/>
        <v>9345213</v>
      </c>
      <c r="H24" s="174">
        <f t="shared" si="4"/>
        <v>1730297</v>
      </c>
      <c r="I24" s="174">
        <f t="shared" si="4"/>
        <v>8352117</v>
      </c>
      <c r="J24" s="174">
        <f t="shared" si="4"/>
        <v>5268787</v>
      </c>
      <c r="K24" s="174">
        <f t="shared" si="4"/>
        <v>3981762</v>
      </c>
      <c r="L24" s="189">
        <f t="shared" si="4"/>
        <v>2264795</v>
      </c>
      <c r="M24" s="174">
        <f t="shared" si="4"/>
        <v>3394890</v>
      </c>
      <c r="N24" s="174">
        <f t="shared" si="4"/>
        <v>664015</v>
      </c>
      <c r="O24" s="174">
        <f t="shared" si="4"/>
        <v>1420378</v>
      </c>
      <c r="P24" s="174">
        <f t="shared" si="4"/>
        <v>555117</v>
      </c>
      <c r="Q24" s="174">
        <f t="shared" si="4"/>
        <v>7690993</v>
      </c>
      <c r="R24" s="174">
        <f t="shared" si="2"/>
        <v>66460863</v>
      </c>
      <c r="S24" s="164"/>
    </row>
    <row r="25" spans="2:19" ht="18" customHeight="1">
      <c r="B25" s="164" t="s">
        <v>147</v>
      </c>
      <c r="C25" s="163"/>
      <c r="D25" s="163"/>
      <c r="E25" s="173">
        <f>E26+E27+E28+E29+E30</f>
        <v>993860</v>
      </c>
      <c r="F25" s="174">
        <f aca="true" t="shared" si="5" ref="F25:Q25">F26+F27+F28+F29+F30</f>
        <v>0</v>
      </c>
      <c r="G25" s="174">
        <f t="shared" si="5"/>
        <v>0</v>
      </c>
      <c r="H25" s="174">
        <f t="shared" si="5"/>
        <v>0</v>
      </c>
      <c r="I25" s="174">
        <f t="shared" si="5"/>
        <v>1177751</v>
      </c>
      <c r="J25" s="174">
        <f t="shared" si="5"/>
        <v>0</v>
      </c>
      <c r="K25" s="174">
        <f t="shared" si="5"/>
        <v>0</v>
      </c>
      <c r="L25" s="189">
        <f t="shared" si="5"/>
        <v>0</v>
      </c>
      <c r="M25" s="174">
        <f t="shared" si="5"/>
        <v>0</v>
      </c>
      <c r="N25" s="174">
        <f t="shared" si="5"/>
        <v>0</v>
      </c>
      <c r="O25" s="174">
        <f t="shared" si="5"/>
        <v>0</v>
      </c>
      <c r="P25" s="174">
        <f t="shared" si="5"/>
        <v>47500</v>
      </c>
      <c r="Q25" s="174">
        <f t="shared" si="5"/>
        <v>22763</v>
      </c>
      <c r="R25" s="174">
        <f>SUM(E25:Q25)</f>
        <v>2241874</v>
      </c>
      <c r="S25" s="164"/>
    </row>
    <row r="26" spans="2:19" ht="18" customHeight="1">
      <c r="B26" s="164"/>
      <c r="C26" s="163" t="s">
        <v>148</v>
      </c>
      <c r="D26" s="163"/>
      <c r="E26" s="173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89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f t="shared" si="2"/>
        <v>0</v>
      </c>
      <c r="S26" s="164"/>
    </row>
    <row r="27" spans="2:19" ht="18" customHeight="1">
      <c r="B27" s="164"/>
      <c r="C27" s="184" t="s">
        <v>434</v>
      </c>
      <c r="D27" s="163"/>
      <c r="E27" s="173">
        <v>0</v>
      </c>
      <c r="F27" s="174">
        <v>0</v>
      </c>
      <c r="G27" s="174">
        <v>0</v>
      </c>
      <c r="H27" s="174">
        <v>0</v>
      </c>
      <c r="I27" s="174">
        <v>485400</v>
      </c>
      <c r="J27" s="174">
        <v>0</v>
      </c>
      <c r="K27" s="174">
        <v>0</v>
      </c>
      <c r="L27" s="189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f t="shared" si="2"/>
        <v>485400</v>
      </c>
      <c r="S27" s="164"/>
    </row>
    <row r="28" spans="2:19" ht="18" customHeight="1">
      <c r="B28" s="164"/>
      <c r="C28" s="163" t="s">
        <v>149</v>
      </c>
      <c r="D28" s="163"/>
      <c r="E28" s="173">
        <v>0</v>
      </c>
      <c r="F28" s="174">
        <v>0</v>
      </c>
      <c r="G28" s="174">
        <v>0</v>
      </c>
      <c r="H28" s="174">
        <v>0</v>
      </c>
      <c r="I28" s="174">
        <v>650000</v>
      </c>
      <c r="J28" s="174">
        <v>0</v>
      </c>
      <c r="K28" s="174">
        <v>0</v>
      </c>
      <c r="L28" s="189">
        <v>0</v>
      </c>
      <c r="M28" s="174">
        <v>0</v>
      </c>
      <c r="N28" s="174">
        <v>0</v>
      </c>
      <c r="O28" s="174">
        <v>0</v>
      </c>
      <c r="P28" s="174">
        <v>47500</v>
      </c>
      <c r="Q28" s="174">
        <v>0</v>
      </c>
      <c r="R28" s="174">
        <f t="shared" si="2"/>
        <v>697500</v>
      </c>
      <c r="S28" s="164"/>
    </row>
    <row r="29" spans="2:19" ht="18" customHeight="1">
      <c r="B29" s="164"/>
      <c r="C29" s="163" t="s">
        <v>150</v>
      </c>
      <c r="D29" s="163"/>
      <c r="E29" s="173">
        <v>993860</v>
      </c>
      <c r="F29" s="174">
        <v>0</v>
      </c>
      <c r="G29" s="174">
        <v>0</v>
      </c>
      <c r="H29" s="174">
        <v>0</v>
      </c>
      <c r="I29" s="174">
        <v>42351</v>
      </c>
      <c r="J29" s="174">
        <v>0</v>
      </c>
      <c r="K29" s="174">
        <v>0</v>
      </c>
      <c r="L29" s="189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22763</v>
      </c>
      <c r="R29" s="174">
        <f t="shared" si="2"/>
        <v>1058974</v>
      </c>
      <c r="S29" s="164"/>
    </row>
    <row r="30" spans="2:19" ht="18" customHeight="1">
      <c r="B30" s="188"/>
      <c r="C30" s="163" t="s">
        <v>151</v>
      </c>
      <c r="D30" s="163"/>
      <c r="E30" s="173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89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f t="shared" si="2"/>
        <v>0</v>
      </c>
      <c r="S30" s="164"/>
    </row>
    <row r="31" spans="2:19" ht="18" customHeight="1">
      <c r="B31" s="162" t="s">
        <v>309</v>
      </c>
      <c r="C31" s="163"/>
      <c r="D31" s="163"/>
      <c r="E31" s="173">
        <f>E32+E33+E34</f>
        <v>1043884</v>
      </c>
      <c r="F31" s="174">
        <f aca="true" t="shared" si="6" ref="F31:Q31">F32+F33+F34</f>
        <v>2186613</v>
      </c>
      <c r="G31" s="174">
        <f t="shared" si="6"/>
        <v>1005233</v>
      </c>
      <c r="H31" s="174">
        <f t="shared" si="6"/>
        <v>617880</v>
      </c>
      <c r="I31" s="174">
        <f t="shared" si="6"/>
        <v>609293</v>
      </c>
      <c r="J31" s="174">
        <f t="shared" si="6"/>
        <v>285256</v>
      </c>
      <c r="K31" s="174">
        <f t="shared" si="6"/>
        <v>91105</v>
      </c>
      <c r="L31" s="189">
        <f t="shared" si="6"/>
        <v>299469</v>
      </c>
      <c r="M31" s="174">
        <f t="shared" si="6"/>
        <v>368601</v>
      </c>
      <c r="N31" s="174">
        <f t="shared" si="6"/>
        <v>3380</v>
      </c>
      <c r="O31" s="174">
        <f t="shared" si="6"/>
        <v>30586</v>
      </c>
      <c r="P31" s="174">
        <f t="shared" si="6"/>
        <v>41146</v>
      </c>
      <c r="Q31" s="174">
        <f t="shared" si="6"/>
        <v>296709</v>
      </c>
      <c r="R31" s="174">
        <f t="shared" si="2"/>
        <v>6879155</v>
      </c>
      <c r="S31" s="164"/>
    </row>
    <row r="32" spans="2:19" ht="18" customHeight="1">
      <c r="B32" s="164"/>
      <c r="C32" s="163" t="s">
        <v>152</v>
      </c>
      <c r="D32" s="163"/>
      <c r="E32" s="173">
        <v>0</v>
      </c>
      <c r="F32" s="174">
        <v>1500000</v>
      </c>
      <c r="G32" s="174">
        <v>660000</v>
      </c>
      <c r="H32" s="174">
        <v>395251</v>
      </c>
      <c r="I32" s="174">
        <v>306000</v>
      </c>
      <c r="J32" s="174">
        <v>0</v>
      </c>
      <c r="K32" s="174">
        <v>0</v>
      </c>
      <c r="L32" s="189">
        <v>200000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f t="shared" si="2"/>
        <v>3061251</v>
      </c>
      <c r="S32" s="164"/>
    </row>
    <row r="33" spans="2:19" ht="18" customHeight="1">
      <c r="B33" s="164"/>
      <c r="C33" s="163" t="s">
        <v>153</v>
      </c>
      <c r="D33" s="163"/>
      <c r="E33" s="173">
        <v>979226</v>
      </c>
      <c r="F33" s="174">
        <v>685563</v>
      </c>
      <c r="G33" s="174">
        <v>328024</v>
      </c>
      <c r="H33" s="174">
        <v>215258</v>
      </c>
      <c r="I33" s="174">
        <v>295054</v>
      </c>
      <c r="J33" s="174">
        <v>265231</v>
      </c>
      <c r="K33" s="174">
        <v>89968</v>
      </c>
      <c r="L33" s="189">
        <v>95222</v>
      </c>
      <c r="M33" s="174">
        <v>368151</v>
      </c>
      <c r="N33" s="174">
        <v>3380</v>
      </c>
      <c r="O33" s="174">
        <v>30713</v>
      </c>
      <c r="P33" s="174">
        <v>36353</v>
      </c>
      <c r="Q33" s="174">
        <v>288662</v>
      </c>
      <c r="R33" s="174">
        <f t="shared" si="2"/>
        <v>3680805</v>
      </c>
      <c r="S33" s="164"/>
    </row>
    <row r="34" spans="2:19" ht="18" customHeight="1">
      <c r="B34" s="188"/>
      <c r="C34" s="163" t="s">
        <v>154</v>
      </c>
      <c r="D34" s="163"/>
      <c r="E34" s="173">
        <v>64658</v>
      </c>
      <c r="F34" s="174">
        <v>1050</v>
      </c>
      <c r="G34" s="174">
        <v>17209</v>
      </c>
      <c r="H34" s="174">
        <v>7371</v>
      </c>
      <c r="I34" s="174">
        <v>8239</v>
      </c>
      <c r="J34" s="174">
        <v>20025</v>
      </c>
      <c r="K34" s="174">
        <v>1137</v>
      </c>
      <c r="L34" s="189">
        <v>4247</v>
      </c>
      <c r="M34" s="174">
        <v>450</v>
      </c>
      <c r="N34" s="174">
        <v>0</v>
      </c>
      <c r="O34" s="174">
        <v>-127</v>
      </c>
      <c r="P34" s="174">
        <v>4793</v>
      </c>
      <c r="Q34" s="174">
        <v>8047</v>
      </c>
      <c r="R34" s="174">
        <f t="shared" si="2"/>
        <v>137099</v>
      </c>
      <c r="S34" s="164"/>
    </row>
    <row r="35" spans="2:19" ht="18" customHeight="1">
      <c r="B35" s="188" t="s">
        <v>155</v>
      </c>
      <c r="C35" s="163"/>
      <c r="D35" s="163"/>
      <c r="E35" s="173">
        <f>E25+E31</f>
        <v>2037744</v>
      </c>
      <c r="F35" s="174">
        <f aca="true" t="shared" si="7" ref="F35:Q35">F25+F31</f>
        <v>2186613</v>
      </c>
      <c r="G35" s="174">
        <f t="shared" si="7"/>
        <v>1005233</v>
      </c>
      <c r="H35" s="174">
        <f t="shared" si="7"/>
        <v>617880</v>
      </c>
      <c r="I35" s="174">
        <f t="shared" si="7"/>
        <v>1787044</v>
      </c>
      <c r="J35" s="174">
        <f t="shared" si="7"/>
        <v>285256</v>
      </c>
      <c r="K35" s="174">
        <f t="shared" si="7"/>
        <v>91105</v>
      </c>
      <c r="L35" s="189">
        <f t="shared" si="7"/>
        <v>299469</v>
      </c>
      <c r="M35" s="174">
        <f t="shared" si="7"/>
        <v>368601</v>
      </c>
      <c r="N35" s="174">
        <f t="shared" si="7"/>
        <v>3380</v>
      </c>
      <c r="O35" s="174">
        <f t="shared" si="7"/>
        <v>30586</v>
      </c>
      <c r="P35" s="174">
        <f t="shared" si="7"/>
        <v>88646</v>
      </c>
      <c r="Q35" s="174">
        <f t="shared" si="7"/>
        <v>319472</v>
      </c>
      <c r="R35" s="174">
        <f t="shared" si="2"/>
        <v>9121029</v>
      </c>
      <c r="S35" s="164"/>
    </row>
    <row r="36" spans="2:19" ht="18" customHeight="1">
      <c r="B36" s="164" t="s">
        <v>156</v>
      </c>
      <c r="C36" s="163"/>
      <c r="D36" s="163"/>
      <c r="E36" s="173">
        <f>E37+E42</f>
        <v>16692726</v>
      </c>
      <c r="F36" s="174">
        <f aca="true" t="shared" si="8" ref="F36:Q36">F37+F42</f>
        <v>1153556</v>
      </c>
      <c r="G36" s="174">
        <f t="shared" si="8"/>
        <v>12328327</v>
      </c>
      <c r="H36" s="174">
        <f t="shared" si="8"/>
        <v>3584705</v>
      </c>
      <c r="I36" s="174">
        <f t="shared" si="8"/>
        <v>13621621</v>
      </c>
      <c r="J36" s="174">
        <f t="shared" si="8"/>
        <v>4268183</v>
      </c>
      <c r="K36" s="174">
        <f t="shared" si="8"/>
        <v>3864735</v>
      </c>
      <c r="L36" s="189">
        <f t="shared" si="8"/>
        <v>1456041</v>
      </c>
      <c r="M36" s="174">
        <f t="shared" si="8"/>
        <v>1585165</v>
      </c>
      <c r="N36" s="174">
        <f t="shared" si="8"/>
        <v>174862</v>
      </c>
      <c r="O36" s="174">
        <f t="shared" si="8"/>
        <v>760284</v>
      </c>
      <c r="P36" s="174">
        <f t="shared" si="8"/>
        <v>274502</v>
      </c>
      <c r="Q36" s="174">
        <f t="shared" si="8"/>
        <v>4184995</v>
      </c>
      <c r="R36" s="174">
        <f t="shared" si="2"/>
        <v>63949702</v>
      </c>
      <c r="S36" s="164"/>
    </row>
    <row r="37" spans="2:19" ht="18" customHeight="1">
      <c r="B37" s="164"/>
      <c r="C37" s="176" t="s">
        <v>310</v>
      </c>
      <c r="D37" s="177"/>
      <c r="E37" s="191">
        <f>E38+E39+E40+E41</f>
        <v>13639349</v>
      </c>
      <c r="F37" s="192">
        <f aca="true" t="shared" si="9" ref="F37:Q37">F38+F39+F40+F41</f>
        <v>510318</v>
      </c>
      <c r="G37" s="192">
        <f t="shared" si="9"/>
        <v>4398880</v>
      </c>
      <c r="H37" s="192">
        <f t="shared" si="9"/>
        <v>3160674</v>
      </c>
      <c r="I37" s="192">
        <f t="shared" si="9"/>
        <v>4822300</v>
      </c>
      <c r="J37" s="192">
        <f t="shared" si="9"/>
        <v>200856</v>
      </c>
      <c r="K37" s="192">
        <f t="shared" si="9"/>
        <v>3289107</v>
      </c>
      <c r="L37" s="179">
        <f t="shared" si="9"/>
        <v>295396</v>
      </c>
      <c r="M37" s="192">
        <f t="shared" si="9"/>
        <v>168333</v>
      </c>
      <c r="N37" s="192">
        <f t="shared" si="9"/>
        <v>6224</v>
      </c>
      <c r="O37" s="192">
        <f t="shared" si="9"/>
        <v>15863</v>
      </c>
      <c r="P37" s="192">
        <f t="shared" si="9"/>
        <v>9110</v>
      </c>
      <c r="Q37" s="192">
        <f t="shared" si="9"/>
        <v>906775</v>
      </c>
      <c r="R37" s="192">
        <f t="shared" si="2"/>
        <v>31423185</v>
      </c>
      <c r="S37" s="164"/>
    </row>
    <row r="38" spans="2:19" ht="18" customHeight="1">
      <c r="B38" s="164"/>
      <c r="D38" s="177" t="s">
        <v>157</v>
      </c>
      <c r="E38" s="191">
        <v>110619</v>
      </c>
      <c r="F38" s="192">
        <v>78266</v>
      </c>
      <c r="G38" s="192">
        <v>40021</v>
      </c>
      <c r="H38" s="192">
        <v>499398</v>
      </c>
      <c r="I38" s="192">
        <v>257318</v>
      </c>
      <c r="J38" s="192">
        <v>5586</v>
      </c>
      <c r="K38" s="192">
        <v>2908027</v>
      </c>
      <c r="L38" s="182">
        <v>55585</v>
      </c>
      <c r="M38" s="192">
        <v>49204</v>
      </c>
      <c r="N38" s="192">
        <v>6224</v>
      </c>
      <c r="O38" s="192">
        <v>15863</v>
      </c>
      <c r="P38" s="192">
        <v>9110</v>
      </c>
      <c r="Q38" s="192">
        <v>47194</v>
      </c>
      <c r="R38" s="192">
        <f t="shared" si="2"/>
        <v>4082415</v>
      </c>
      <c r="S38" s="164"/>
    </row>
    <row r="39" spans="2:19" ht="18" customHeight="1">
      <c r="B39" s="164"/>
      <c r="D39" s="177" t="s">
        <v>158</v>
      </c>
      <c r="E39" s="191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8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29</v>
      </c>
      <c r="R39" s="192">
        <f t="shared" si="2"/>
        <v>29</v>
      </c>
      <c r="S39" s="164"/>
    </row>
    <row r="40" spans="2:19" ht="18" customHeight="1">
      <c r="B40" s="164"/>
      <c r="D40" s="177" t="s">
        <v>159</v>
      </c>
      <c r="E40" s="191">
        <v>13482430</v>
      </c>
      <c r="F40" s="192">
        <v>276000</v>
      </c>
      <c r="G40" s="192">
        <v>4305967</v>
      </c>
      <c r="H40" s="192">
        <v>2651776</v>
      </c>
      <c r="I40" s="192">
        <v>4555495</v>
      </c>
      <c r="J40" s="192">
        <v>195070</v>
      </c>
      <c r="K40" s="192">
        <v>293791</v>
      </c>
      <c r="L40" s="182">
        <v>237611</v>
      </c>
      <c r="M40" s="192">
        <v>19129</v>
      </c>
      <c r="N40" s="192">
        <v>0</v>
      </c>
      <c r="O40" s="192">
        <v>0</v>
      </c>
      <c r="P40" s="192">
        <v>0</v>
      </c>
      <c r="Q40" s="192">
        <v>705058</v>
      </c>
      <c r="R40" s="192">
        <f t="shared" si="2"/>
        <v>26722327</v>
      </c>
      <c r="S40" s="164"/>
    </row>
    <row r="41" spans="2:19" ht="18" customHeight="1">
      <c r="B41" s="164"/>
      <c r="C41" s="163"/>
      <c r="D41" s="163" t="s">
        <v>160</v>
      </c>
      <c r="E41" s="173">
        <v>46300</v>
      </c>
      <c r="F41" s="174">
        <v>156052</v>
      </c>
      <c r="G41" s="174">
        <v>52892</v>
      </c>
      <c r="H41" s="174">
        <v>9500</v>
      </c>
      <c r="I41" s="174">
        <v>9487</v>
      </c>
      <c r="J41" s="174">
        <v>200</v>
      </c>
      <c r="K41" s="174">
        <v>87289</v>
      </c>
      <c r="L41" s="186">
        <v>2200</v>
      </c>
      <c r="M41" s="174">
        <v>100000</v>
      </c>
      <c r="N41" s="174">
        <v>0</v>
      </c>
      <c r="O41" s="174">
        <v>0</v>
      </c>
      <c r="P41" s="174">
        <v>0</v>
      </c>
      <c r="Q41" s="174">
        <v>154494</v>
      </c>
      <c r="R41" s="174">
        <f aca="true" t="shared" si="10" ref="R41:R62">SUM(E41:Q41)</f>
        <v>618414</v>
      </c>
      <c r="S41" s="164"/>
    </row>
    <row r="42" spans="2:19" ht="18" customHeight="1">
      <c r="B42" s="164"/>
      <c r="C42" s="176" t="s">
        <v>311</v>
      </c>
      <c r="D42" s="177"/>
      <c r="E42" s="191">
        <f>E43+E44</f>
        <v>3053377</v>
      </c>
      <c r="F42" s="192">
        <f aca="true" t="shared" si="11" ref="F42:Q42">F43+F44</f>
        <v>643238</v>
      </c>
      <c r="G42" s="192">
        <f t="shared" si="11"/>
        <v>7929447</v>
      </c>
      <c r="H42" s="192">
        <f t="shared" si="11"/>
        <v>424031</v>
      </c>
      <c r="I42" s="192">
        <f t="shared" si="11"/>
        <v>8799321</v>
      </c>
      <c r="J42" s="192">
        <f t="shared" si="11"/>
        <v>4067327</v>
      </c>
      <c r="K42" s="192">
        <f t="shared" si="11"/>
        <v>575628</v>
      </c>
      <c r="L42" s="179">
        <f t="shared" si="11"/>
        <v>1160645</v>
      </c>
      <c r="M42" s="192">
        <f t="shared" si="11"/>
        <v>1416832</v>
      </c>
      <c r="N42" s="192">
        <f t="shared" si="11"/>
        <v>168638</v>
      </c>
      <c r="O42" s="192">
        <f t="shared" si="11"/>
        <v>744421</v>
      </c>
      <c r="P42" s="192">
        <f t="shared" si="11"/>
        <v>265392</v>
      </c>
      <c r="Q42" s="192">
        <f t="shared" si="11"/>
        <v>3278220</v>
      </c>
      <c r="R42" s="192">
        <f t="shared" si="10"/>
        <v>32526517</v>
      </c>
      <c r="S42" s="164"/>
    </row>
    <row r="43" spans="2:19" ht="18" customHeight="1">
      <c r="B43" s="164"/>
      <c r="D43" s="177" t="s">
        <v>161</v>
      </c>
      <c r="E43" s="191">
        <v>3053377</v>
      </c>
      <c r="F43" s="192">
        <v>643238</v>
      </c>
      <c r="G43" s="192">
        <v>7929447</v>
      </c>
      <c r="H43" s="192">
        <v>424031</v>
      </c>
      <c r="I43" s="192">
        <v>8799321</v>
      </c>
      <c r="J43" s="192">
        <v>4067327</v>
      </c>
      <c r="K43" s="192">
        <v>575628</v>
      </c>
      <c r="L43" s="182">
        <v>1160645</v>
      </c>
      <c r="M43" s="192">
        <v>1416832</v>
      </c>
      <c r="N43" s="192">
        <v>168638</v>
      </c>
      <c r="O43" s="192">
        <v>744421</v>
      </c>
      <c r="P43" s="192">
        <v>265392</v>
      </c>
      <c r="Q43" s="192">
        <v>3278220</v>
      </c>
      <c r="R43" s="192">
        <f t="shared" si="10"/>
        <v>32526517</v>
      </c>
      <c r="S43" s="164"/>
    </row>
    <row r="44" spans="2:19" ht="18" customHeight="1">
      <c r="B44" s="188"/>
      <c r="C44" s="163"/>
      <c r="D44" s="163" t="s">
        <v>162</v>
      </c>
      <c r="E44" s="173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86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f t="shared" si="10"/>
        <v>0</v>
      </c>
      <c r="S44" s="164"/>
    </row>
    <row r="45" spans="2:19" ht="18" customHeight="1">
      <c r="B45" s="162" t="s">
        <v>312</v>
      </c>
      <c r="C45" s="163"/>
      <c r="D45" s="163"/>
      <c r="E45" s="173">
        <f>E46+E52</f>
        <v>-1569699</v>
      </c>
      <c r="F45" s="174">
        <f aca="true" t="shared" si="12" ref="F45:Q45">F46+F52</f>
        <v>1291559</v>
      </c>
      <c r="G45" s="174">
        <f t="shared" si="12"/>
        <v>-3988347</v>
      </c>
      <c r="H45" s="174">
        <f t="shared" si="12"/>
        <v>-2472288</v>
      </c>
      <c r="I45" s="174">
        <f t="shared" si="12"/>
        <v>-7056548</v>
      </c>
      <c r="J45" s="174">
        <f t="shared" si="12"/>
        <v>715348</v>
      </c>
      <c r="K45" s="174">
        <f t="shared" si="12"/>
        <v>25922</v>
      </c>
      <c r="L45" s="189">
        <f t="shared" si="12"/>
        <v>509285</v>
      </c>
      <c r="M45" s="174">
        <f t="shared" si="12"/>
        <v>1441124</v>
      </c>
      <c r="N45" s="174">
        <f t="shared" si="12"/>
        <v>485773</v>
      </c>
      <c r="O45" s="174">
        <f t="shared" si="12"/>
        <v>629508</v>
      </c>
      <c r="P45" s="174">
        <f t="shared" si="12"/>
        <v>191969</v>
      </c>
      <c r="Q45" s="174">
        <f t="shared" si="12"/>
        <v>3186526</v>
      </c>
      <c r="R45" s="174">
        <f t="shared" si="10"/>
        <v>-6609868</v>
      </c>
      <c r="S45" s="164"/>
    </row>
    <row r="46" spans="2:19" ht="18" customHeight="1">
      <c r="B46" s="164"/>
      <c r="C46" s="176" t="s">
        <v>313</v>
      </c>
      <c r="D46" s="177"/>
      <c r="E46" s="191">
        <f>E47+E48+E49+E50+E51</f>
        <v>1185374</v>
      </c>
      <c r="F46" s="192">
        <f aca="true" t="shared" si="13" ref="F46:Q46">F47+F48+F49+F50+F51</f>
        <v>4445756</v>
      </c>
      <c r="G46" s="192">
        <f t="shared" si="13"/>
        <v>3759252</v>
      </c>
      <c r="H46" s="192">
        <f t="shared" si="13"/>
        <v>156279</v>
      </c>
      <c r="I46" s="192">
        <f t="shared" si="13"/>
        <v>1663850</v>
      </c>
      <c r="J46" s="192">
        <f t="shared" si="13"/>
        <v>4557850</v>
      </c>
      <c r="K46" s="192">
        <f t="shared" si="13"/>
        <v>23845</v>
      </c>
      <c r="L46" s="179">
        <f t="shared" si="13"/>
        <v>738101</v>
      </c>
      <c r="M46" s="192">
        <f t="shared" si="13"/>
        <v>3608745</v>
      </c>
      <c r="N46" s="192">
        <f t="shared" si="13"/>
        <v>538848</v>
      </c>
      <c r="O46" s="192">
        <f t="shared" si="13"/>
        <v>614568</v>
      </c>
      <c r="P46" s="192">
        <f t="shared" si="13"/>
        <v>1130792</v>
      </c>
      <c r="Q46" s="192">
        <f t="shared" si="13"/>
        <v>3260568</v>
      </c>
      <c r="R46" s="192">
        <f t="shared" si="10"/>
        <v>25683828</v>
      </c>
      <c r="S46" s="164"/>
    </row>
    <row r="47" spans="2:19" ht="18" customHeight="1">
      <c r="B47" s="164"/>
      <c r="D47" s="177" t="s">
        <v>163</v>
      </c>
      <c r="E47" s="191">
        <v>277412</v>
      </c>
      <c r="F47" s="192">
        <v>102949</v>
      </c>
      <c r="G47" s="192">
        <v>44404</v>
      </c>
      <c r="H47" s="192">
        <v>63130</v>
      </c>
      <c r="I47" s="192">
        <v>0</v>
      </c>
      <c r="J47" s="192">
        <v>446797</v>
      </c>
      <c r="K47" s="192">
        <v>22522</v>
      </c>
      <c r="L47" s="182">
        <v>65174</v>
      </c>
      <c r="M47" s="192">
        <v>97394</v>
      </c>
      <c r="N47" s="192">
        <v>107719</v>
      </c>
      <c r="O47" s="192">
        <v>15684</v>
      </c>
      <c r="P47" s="192">
        <v>117877</v>
      </c>
      <c r="Q47" s="192">
        <v>368509</v>
      </c>
      <c r="R47" s="192">
        <f t="shared" si="10"/>
        <v>1729571</v>
      </c>
      <c r="S47" s="164"/>
    </row>
    <row r="48" spans="2:19" ht="18" customHeight="1">
      <c r="B48" s="164"/>
      <c r="D48" s="193" t="s">
        <v>282</v>
      </c>
      <c r="E48" s="191">
        <v>81051</v>
      </c>
      <c r="F48" s="192">
        <v>16190</v>
      </c>
      <c r="G48" s="192">
        <v>19434</v>
      </c>
      <c r="H48" s="192">
        <v>2100</v>
      </c>
      <c r="I48" s="192">
        <v>468282</v>
      </c>
      <c r="J48" s="192">
        <v>263923</v>
      </c>
      <c r="K48" s="192">
        <v>0</v>
      </c>
      <c r="L48" s="182">
        <v>0</v>
      </c>
      <c r="M48" s="192">
        <v>0</v>
      </c>
      <c r="N48" s="192">
        <v>30963</v>
      </c>
      <c r="O48" s="192">
        <v>0</v>
      </c>
      <c r="P48" s="192">
        <v>101770</v>
      </c>
      <c r="Q48" s="192">
        <v>63575</v>
      </c>
      <c r="R48" s="192">
        <f t="shared" si="10"/>
        <v>1047288</v>
      </c>
      <c r="S48" s="164"/>
    </row>
    <row r="49" spans="2:19" ht="18" customHeight="1">
      <c r="B49" s="164"/>
      <c r="D49" s="177" t="s">
        <v>164</v>
      </c>
      <c r="E49" s="191">
        <v>0</v>
      </c>
      <c r="F49" s="192">
        <v>53395</v>
      </c>
      <c r="G49" s="192">
        <v>0</v>
      </c>
      <c r="H49" s="192">
        <v>2245</v>
      </c>
      <c r="I49" s="192">
        <v>0</v>
      </c>
      <c r="J49" s="192">
        <v>0</v>
      </c>
      <c r="K49" s="192">
        <v>1323</v>
      </c>
      <c r="L49" s="18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f t="shared" si="10"/>
        <v>56963</v>
      </c>
      <c r="S49" s="164"/>
    </row>
    <row r="50" spans="2:19" ht="18" customHeight="1">
      <c r="B50" s="164"/>
      <c r="D50" s="177" t="s">
        <v>165</v>
      </c>
      <c r="E50" s="191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8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f t="shared" si="10"/>
        <v>0</v>
      </c>
      <c r="S50" s="164"/>
    </row>
    <row r="51" spans="2:19" ht="18" customHeight="1">
      <c r="B51" s="164"/>
      <c r="C51" s="163"/>
      <c r="D51" s="163" t="s">
        <v>166</v>
      </c>
      <c r="E51" s="173">
        <v>826911</v>
      </c>
      <c r="F51" s="174">
        <v>4273222</v>
      </c>
      <c r="G51" s="174">
        <v>3695414</v>
      </c>
      <c r="H51" s="174">
        <v>88804</v>
      </c>
      <c r="I51" s="174">
        <v>1195568</v>
      </c>
      <c r="J51" s="174">
        <v>3847130</v>
      </c>
      <c r="K51" s="174">
        <v>0</v>
      </c>
      <c r="L51" s="186">
        <v>672927</v>
      </c>
      <c r="M51" s="174">
        <v>3511351</v>
      </c>
      <c r="N51" s="174">
        <v>400166</v>
      </c>
      <c r="O51" s="174">
        <v>598884</v>
      </c>
      <c r="P51" s="174">
        <v>911145</v>
      </c>
      <c r="Q51" s="174">
        <v>2828484</v>
      </c>
      <c r="R51" s="174">
        <f t="shared" si="10"/>
        <v>22850006</v>
      </c>
      <c r="S51" s="164"/>
    </row>
    <row r="52" spans="2:19" ht="18" customHeight="1">
      <c r="B52" s="164"/>
      <c r="C52" s="176" t="s">
        <v>314</v>
      </c>
      <c r="D52" s="177"/>
      <c r="E52" s="191">
        <f>E53+E54+E55+E56+E57-E58</f>
        <v>-2755073</v>
      </c>
      <c r="F52" s="192">
        <f aca="true" t="shared" si="14" ref="F52:Q52">F53+F54+F55+F56+F57-F58</f>
        <v>-3154197</v>
      </c>
      <c r="G52" s="192">
        <f t="shared" si="14"/>
        <v>-7747599</v>
      </c>
      <c r="H52" s="192">
        <f t="shared" si="14"/>
        <v>-2628567</v>
      </c>
      <c r="I52" s="192">
        <f t="shared" si="14"/>
        <v>-8720398</v>
      </c>
      <c r="J52" s="192">
        <f t="shared" si="14"/>
        <v>-3842502</v>
      </c>
      <c r="K52" s="192">
        <f t="shared" si="14"/>
        <v>2077</v>
      </c>
      <c r="L52" s="179">
        <f t="shared" si="14"/>
        <v>-228816</v>
      </c>
      <c r="M52" s="192">
        <f t="shared" si="14"/>
        <v>-2167621</v>
      </c>
      <c r="N52" s="192">
        <f t="shared" si="14"/>
        <v>-53075</v>
      </c>
      <c r="O52" s="192">
        <f t="shared" si="14"/>
        <v>14940</v>
      </c>
      <c r="P52" s="192">
        <f t="shared" si="14"/>
        <v>-938823</v>
      </c>
      <c r="Q52" s="192">
        <f t="shared" si="14"/>
        <v>-74042</v>
      </c>
      <c r="R52" s="192">
        <f t="shared" si="10"/>
        <v>-32293696</v>
      </c>
      <c r="S52" s="164"/>
    </row>
    <row r="53" spans="2:19" ht="18" customHeight="1">
      <c r="B53" s="164"/>
      <c r="D53" s="177" t="s">
        <v>167</v>
      </c>
      <c r="E53" s="191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82">
        <v>0</v>
      </c>
      <c r="M53" s="192">
        <v>10213</v>
      </c>
      <c r="N53" s="192">
        <v>10615</v>
      </c>
      <c r="O53" s="192">
        <v>0</v>
      </c>
      <c r="P53" s="192">
        <v>0</v>
      </c>
      <c r="Q53" s="192">
        <v>0</v>
      </c>
      <c r="R53" s="192">
        <f t="shared" si="10"/>
        <v>20828</v>
      </c>
      <c r="S53" s="164"/>
    </row>
    <row r="54" spans="2:19" ht="18" customHeight="1">
      <c r="B54" s="164"/>
      <c r="D54" s="177" t="s">
        <v>168</v>
      </c>
      <c r="E54" s="191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8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f t="shared" si="10"/>
        <v>0</v>
      </c>
      <c r="S54" s="164"/>
    </row>
    <row r="55" spans="2:19" ht="18" customHeight="1">
      <c r="B55" s="164"/>
      <c r="D55" s="177" t="s">
        <v>169</v>
      </c>
      <c r="E55" s="191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8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18466</v>
      </c>
      <c r="R55" s="192">
        <f t="shared" si="10"/>
        <v>18466</v>
      </c>
      <c r="S55" s="164"/>
    </row>
    <row r="56" spans="2:19" ht="18" customHeight="1">
      <c r="B56" s="164"/>
      <c r="D56" s="177" t="s">
        <v>170</v>
      </c>
      <c r="E56" s="191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8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f t="shared" si="10"/>
        <v>0</v>
      </c>
      <c r="S56" s="164"/>
    </row>
    <row r="57" spans="2:19" ht="18" customHeight="1">
      <c r="B57" s="164"/>
      <c r="D57" s="177" t="s">
        <v>171</v>
      </c>
      <c r="E57" s="191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2077</v>
      </c>
      <c r="L57" s="182">
        <v>0</v>
      </c>
      <c r="M57" s="192">
        <v>0</v>
      </c>
      <c r="N57" s="192">
        <v>0</v>
      </c>
      <c r="O57" s="192">
        <v>14940</v>
      </c>
      <c r="P57" s="192">
        <v>0</v>
      </c>
      <c r="Q57" s="192">
        <v>0</v>
      </c>
      <c r="R57" s="192">
        <f t="shared" si="10"/>
        <v>17017</v>
      </c>
      <c r="S57" s="164"/>
    </row>
    <row r="58" spans="2:19" ht="18" customHeight="1">
      <c r="B58" s="188"/>
      <c r="C58" s="163"/>
      <c r="D58" s="184" t="s">
        <v>254</v>
      </c>
      <c r="E58" s="173">
        <v>2755073</v>
      </c>
      <c r="F58" s="174">
        <v>3154197</v>
      </c>
      <c r="G58" s="174">
        <v>7747599</v>
      </c>
      <c r="H58" s="174">
        <v>2628567</v>
      </c>
      <c r="I58" s="174">
        <v>8720398</v>
      </c>
      <c r="J58" s="174">
        <v>3842502</v>
      </c>
      <c r="K58" s="174">
        <v>0</v>
      </c>
      <c r="L58" s="186">
        <v>228816</v>
      </c>
      <c r="M58" s="174">
        <v>2177834</v>
      </c>
      <c r="N58" s="174">
        <v>63690</v>
      </c>
      <c r="O58" s="174">
        <v>0</v>
      </c>
      <c r="P58" s="174">
        <v>938823</v>
      </c>
      <c r="Q58" s="174">
        <v>92508</v>
      </c>
      <c r="R58" s="174">
        <f t="shared" si="10"/>
        <v>32350007</v>
      </c>
      <c r="S58" s="164"/>
    </row>
    <row r="59" spans="2:19" ht="18" customHeight="1">
      <c r="B59" s="188" t="s">
        <v>172</v>
      </c>
      <c r="C59" s="163"/>
      <c r="D59" s="163"/>
      <c r="E59" s="173">
        <f>E36+E45</f>
        <v>15123027</v>
      </c>
      <c r="F59" s="174">
        <f aca="true" t="shared" si="15" ref="F59:Q59">F36+F45</f>
        <v>2445115</v>
      </c>
      <c r="G59" s="174">
        <f t="shared" si="15"/>
        <v>8339980</v>
      </c>
      <c r="H59" s="174">
        <f t="shared" si="15"/>
        <v>1112417</v>
      </c>
      <c r="I59" s="174">
        <f t="shared" si="15"/>
        <v>6565073</v>
      </c>
      <c r="J59" s="174">
        <f t="shared" si="15"/>
        <v>4983531</v>
      </c>
      <c r="K59" s="174">
        <f t="shared" si="15"/>
        <v>3890657</v>
      </c>
      <c r="L59" s="189">
        <f t="shared" si="15"/>
        <v>1965326</v>
      </c>
      <c r="M59" s="174">
        <f t="shared" si="15"/>
        <v>3026289</v>
      </c>
      <c r="N59" s="174">
        <f t="shared" si="15"/>
        <v>660635</v>
      </c>
      <c r="O59" s="174">
        <f t="shared" si="15"/>
        <v>1389792</v>
      </c>
      <c r="P59" s="174">
        <f t="shared" si="15"/>
        <v>466471</v>
      </c>
      <c r="Q59" s="174">
        <f t="shared" si="15"/>
        <v>7371521</v>
      </c>
      <c r="R59" s="174">
        <f t="shared" si="10"/>
        <v>57339834</v>
      </c>
      <c r="S59" s="164"/>
    </row>
    <row r="60" spans="2:19" ht="18" customHeight="1">
      <c r="B60" s="190" t="s">
        <v>285</v>
      </c>
      <c r="C60" s="163"/>
      <c r="D60" s="163"/>
      <c r="E60" s="173">
        <f>E35+E59</f>
        <v>17160771</v>
      </c>
      <c r="F60" s="174">
        <f aca="true" t="shared" si="16" ref="F60:Q60">F35+F59</f>
        <v>4631728</v>
      </c>
      <c r="G60" s="174">
        <f t="shared" si="16"/>
        <v>9345213</v>
      </c>
      <c r="H60" s="174">
        <f t="shared" si="16"/>
        <v>1730297</v>
      </c>
      <c r="I60" s="174">
        <f t="shared" si="16"/>
        <v>8352117</v>
      </c>
      <c r="J60" s="174">
        <f t="shared" si="16"/>
        <v>5268787</v>
      </c>
      <c r="K60" s="174">
        <f t="shared" si="16"/>
        <v>3981762</v>
      </c>
      <c r="L60" s="189">
        <f t="shared" si="16"/>
        <v>2264795</v>
      </c>
      <c r="M60" s="174">
        <f t="shared" si="16"/>
        <v>3394890</v>
      </c>
      <c r="N60" s="174">
        <f t="shared" si="16"/>
        <v>664015</v>
      </c>
      <c r="O60" s="174">
        <f t="shared" si="16"/>
        <v>1420378</v>
      </c>
      <c r="P60" s="174">
        <f t="shared" si="16"/>
        <v>555117</v>
      </c>
      <c r="Q60" s="174">
        <f t="shared" si="16"/>
        <v>7690993</v>
      </c>
      <c r="R60" s="174">
        <f t="shared" si="10"/>
        <v>66460863</v>
      </c>
      <c r="S60" s="164"/>
    </row>
    <row r="61" spans="2:19" ht="18" customHeight="1">
      <c r="B61" s="188" t="s">
        <v>173</v>
      </c>
      <c r="C61" s="163"/>
      <c r="D61" s="163"/>
      <c r="E61" s="173">
        <v>0</v>
      </c>
      <c r="F61" s="174">
        <v>1027919</v>
      </c>
      <c r="G61" s="174">
        <v>0</v>
      </c>
      <c r="H61" s="174">
        <v>0</v>
      </c>
      <c r="I61" s="174">
        <v>20590</v>
      </c>
      <c r="J61" s="174">
        <v>0</v>
      </c>
      <c r="K61" s="174">
        <v>0</v>
      </c>
      <c r="L61" s="189">
        <v>24460</v>
      </c>
      <c r="M61" s="174">
        <v>0</v>
      </c>
      <c r="N61" s="174">
        <v>0</v>
      </c>
      <c r="O61" s="174">
        <v>0</v>
      </c>
      <c r="P61" s="174">
        <v>0</v>
      </c>
      <c r="Q61" s="174">
        <v>0</v>
      </c>
      <c r="R61" s="174">
        <f t="shared" si="10"/>
        <v>1072969</v>
      </c>
      <c r="S61" s="164"/>
    </row>
    <row r="62" spans="2:19" ht="18" customHeight="1" thickBot="1">
      <c r="B62" s="171" t="s">
        <v>174</v>
      </c>
      <c r="C62" s="167"/>
      <c r="D62" s="167"/>
      <c r="E62" s="194">
        <v>0</v>
      </c>
      <c r="F62" s="195">
        <v>1027919</v>
      </c>
      <c r="G62" s="195">
        <v>0</v>
      </c>
      <c r="H62" s="195">
        <v>0</v>
      </c>
      <c r="I62" s="195">
        <v>20590</v>
      </c>
      <c r="J62" s="195">
        <v>0</v>
      </c>
      <c r="K62" s="195">
        <v>0</v>
      </c>
      <c r="L62" s="196">
        <v>24460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f t="shared" si="10"/>
        <v>1072969</v>
      </c>
      <c r="S62" s="164"/>
    </row>
    <row r="64" spans="4:20" ht="17.25">
      <c r="D64" s="449"/>
      <c r="E64" s="176" t="b">
        <f>IF(E24=(E35+E59)="","Check!")</f>
        <v>0</v>
      </c>
      <c r="F64" s="176" t="b">
        <f aca="true" t="shared" si="17" ref="F64:R64">IF(F24=(F35+F59)="","Check!")</f>
        <v>0</v>
      </c>
      <c r="G64" s="176" t="b">
        <f t="shared" si="17"/>
        <v>0</v>
      </c>
      <c r="H64" s="176" t="b">
        <f t="shared" si="17"/>
        <v>0</v>
      </c>
      <c r="I64" s="176" t="b">
        <f t="shared" si="17"/>
        <v>0</v>
      </c>
      <c r="J64" s="176" t="b">
        <f t="shared" si="17"/>
        <v>0</v>
      </c>
      <c r="K64" s="176" t="b">
        <f t="shared" si="17"/>
        <v>0</v>
      </c>
      <c r="L64" s="176" t="b">
        <f t="shared" si="17"/>
        <v>0</v>
      </c>
      <c r="M64" s="176" t="b">
        <f t="shared" si="17"/>
        <v>0</v>
      </c>
      <c r="N64" s="176" t="b">
        <f t="shared" si="17"/>
        <v>0</v>
      </c>
      <c r="O64" s="176" t="b">
        <f t="shared" si="17"/>
        <v>0</v>
      </c>
      <c r="P64" s="176" t="b">
        <f t="shared" si="17"/>
        <v>0</v>
      </c>
      <c r="Q64" s="176" t="b">
        <f t="shared" si="17"/>
        <v>0</v>
      </c>
      <c r="R64" s="176" t="b">
        <f t="shared" si="17"/>
        <v>0</v>
      </c>
      <c r="S64" s="176"/>
      <c r="T64" s="176"/>
    </row>
    <row r="75" ht="17.25">
      <c r="D75" s="176"/>
    </row>
  </sheetData>
  <mergeCells count="1">
    <mergeCell ref="H6:H7"/>
  </mergeCells>
  <printOptions/>
  <pageMargins left="0.7874015748031497" right="0.3937007874015748" top="0.7086614173228347" bottom="0.5905511811023623" header="0.5905511811023623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8.66015625" defaultRowHeight="18"/>
  <cols>
    <col min="1" max="1" width="1.66015625" style="255" customWidth="1"/>
    <col min="2" max="3" width="4.66015625" style="255" customWidth="1"/>
    <col min="4" max="4" width="20.66015625" style="255" customWidth="1"/>
    <col min="5" max="17" width="12.66015625" style="255" customWidth="1"/>
    <col min="18" max="18" width="13.16015625" style="255" customWidth="1"/>
    <col min="19" max="19" width="1.66015625" style="255" customWidth="1"/>
    <col min="20" max="20" width="2.66015625" style="255" customWidth="1"/>
    <col min="21" max="16384" width="8.66015625" style="255" customWidth="1"/>
  </cols>
  <sheetData>
    <row r="1" ht="27.75" customHeight="1">
      <c r="B1" s="254" t="s">
        <v>0</v>
      </c>
    </row>
    <row r="2" ht="27.75" customHeight="1"/>
    <row r="3" spans="2:18" ht="27.75" customHeight="1" thickBot="1">
      <c r="B3" s="256" t="s">
        <v>175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 t="s">
        <v>57</v>
      </c>
    </row>
    <row r="4" spans="2:19" ht="27.75" customHeight="1">
      <c r="B4" s="258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69"/>
      <c r="S4" s="258"/>
    </row>
    <row r="5" spans="2:19" ht="27.75" customHeight="1">
      <c r="B5" s="258"/>
      <c r="D5" s="255" t="s">
        <v>58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240</v>
      </c>
      <c r="M5" s="76" t="s">
        <v>241</v>
      </c>
      <c r="N5" s="76" t="s">
        <v>242</v>
      </c>
      <c r="O5" s="76" t="s">
        <v>10</v>
      </c>
      <c r="P5" s="76" t="s">
        <v>243</v>
      </c>
      <c r="Q5" s="76" t="s">
        <v>11</v>
      </c>
      <c r="R5" s="169"/>
      <c r="S5" s="258"/>
    </row>
    <row r="6" spans="2:19" ht="27.75" customHeight="1">
      <c r="B6" s="258"/>
      <c r="E6" s="73"/>
      <c r="F6" s="74"/>
      <c r="G6" s="74"/>
      <c r="H6" s="462" t="s">
        <v>494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258"/>
    </row>
    <row r="7" spans="2:19" ht="27.75" customHeight="1">
      <c r="B7" s="258"/>
      <c r="C7" s="255" t="s">
        <v>59</v>
      </c>
      <c r="E7" s="73" t="s">
        <v>357</v>
      </c>
      <c r="F7" s="74" t="s">
        <v>357</v>
      </c>
      <c r="G7" s="74"/>
      <c r="H7" s="463"/>
      <c r="I7" s="74"/>
      <c r="J7" s="74"/>
      <c r="K7" s="74" t="s">
        <v>357</v>
      </c>
      <c r="L7" s="77" t="s">
        <v>358</v>
      </c>
      <c r="M7" s="74" t="s">
        <v>359</v>
      </c>
      <c r="N7" s="74" t="s">
        <v>14</v>
      </c>
      <c r="O7" s="74" t="s">
        <v>14</v>
      </c>
      <c r="P7" s="74" t="s">
        <v>360</v>
      </c>
      <c r="Q7" s="74"/>
      <c r="R7" s="169"/>
      <c r="S7" s="258"/>
    </row>
    <row r="8" spans="2:19" ht="27.75" customHeight="1" thickBot="1">
      <c r="B8" s="259"/>
      <c r="C8" s="256"/>
      <c r="D8" s="260"/>
      <c r="E8" s="118" t="s">
        <v>361</v>
      </c>
      <c r="F8" s="81" t="s">
        <v>362</v>
      </c>
      <c r="G8" s="81" t="s">
        <v>15</v>
      </c>
      <c r="H8" s="81" t="s">
        <v>16</v>
      </c>
      <c r="I8" s="81" t="s">
        <v>321</v>
      </c>
      <c r="J8" s="81" t="s">
        <v>17</v>
      </c>
      <c r="K8" s="81" t="s">
        <v>18</v>
      </c>
      <c r="L8" s="81" t="s">
        <v>320</v>
      </c>
      <c r="M8" s="81" t="s">
        <v>365</v>
      </c>
      <c r="N8" s="81" t="s">
        <v>60</v>
      </c>
      <c r="O8" s="81" t="s">
        <v>61</v>
      </c>
      <c r="P8" s="81" t="s">
        <v>246</v>
      </c>
      <c r="Q8" s="81" t="s">
        <v>19</v>
      </c>
      <c r="R8" s="172"/>
      <c r="S8" s="258"/>
    </row>
    <row r="9" spans="2:19" ht="27.75" customHeight="1">
      <c r="B9" s="258"/>
      <c r="C9" s="261" t="s">
        <v>364</v>
      </c>
      <c r="D9" s="262"/>
      <c r="E9" s="263">
        <v>364400</v>
      </c>
      <c r="F9" s="264">
        <v>0</v>
      </c>
      <c r="G9" s="264">
        <v>646500</v>
      </c>
      <c r="H9" s="264">
        <v>37600</v>
      </c>
      <c r="I9" s="264">
        <v>49100</v>
      </c>
      <c r="J9" s="264">
        <v>157400</v>
      </c>
      <c r="K9" s="264">
        <v>0</v>
      </c>
      <c r="L9" s="264">
        <v>0</v>
      </c>
      <c r="M9" s="264">
        <v>99700</v>
      </c>
      <c r="N9" s="264">
        <v>3800</v>
      </c>
      <c r="O9" s="264">
        <v>0</v>
      </c>
      <c r="P9" s="264">
        <v>58900</v>
      </c>
      <c r="Q9" s="264">
        <v>20000</v>
      </c>
      <c r="R9" s="264">
        <f>SUM(E9:Q9)</f>
        <v>1437400</v>
      </c>
      <c r="S9" s="258"/>
    </row>
    <row r="10" spans="2:19" ht="27.75" customHeight="1">
      <c r="B10" s="265" t="s">
        <v>93</v>
      </c>
      <c r="C10" s="261" t="s">
        <v>366</v>
      </c>
      <c r="D10" s="262"/>
      <c r="E10" s="263">
        <v>483348</v>
      </c>
      <c r="F10" s="264">
        <v>0</v>
      </c>
      <c r="G10" s="264">
        <v>281160</v>
      </c>
      <c r="H10" s="264">
        <v>47362</v>
      </c>
      <c r="I10" s="264">
        <v>289682</v>
      </c>
      <c r="J10" s="264">
        <v>0</v>
      </c>
      <c r="K10" s="264">
        <v>27559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f>SUM(E10:Q10)</f>
        <v>1129111</v>
      </c>
      <c r="S10" s="258"/>
    </row>
    <row r="11" spans="2:19" ht="27.75" customHeight="1">
      <c r="B11" s="265" t="s">
        <v>176</v>
      </c>
      <c r="C11" s="261" t="s">
        <v>367</v>
      </c>
      <c r="D11" s="262"/>
      <c r="E11" s="263">
        <v>0</v>
      </c>
      <c r="F11" s="264">
        <v>100000</v>
      </c>
      <c r="G11" s="264">
        <v>10357</v>
      </c>
      <c r="H11" s="264">
        <v>0</v>
      </c>
      <c r="I11" s="264">
        <v>37207</v>
      </c>
      <c r="J11" s="264">
        <v>158518</v>
      </c>
      <c r="K11" s="264">
        <v>0</v>
      </c>
      <c r="L11" s="264">
        <v>59083</v>
      </c>
      <c r="M11" s="264">
        <v>203922</v>
      </c>
      <c r="N11" s="264">
        <v>28602</v>
      </c>
      <c r="O11" s="264">
        <v>21767</v>
      </c>
      <c r="P11" s="264">
        <v>29919</v>
      </c>
      <c r="Q11" s="264">
        <v>142592</v>
      </c>
      <c r="R11" s="264">
        <f>SUM(E11:Q11)</f>
        <v>791967</v>
      </c>
      <c r="S11" s="258"/>
    </row>
    <row r="12" spans="2:19" ht="27.75" customHeight="1">
      <c r="B12" s="258"/>
      <c r="C12" s="261" t="s">
        <v>368</v>
      </c>
      <c r="D12" s="262"/>
      <c r="E12" s="263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f aca="true" t="shared" si="0" ref="R12:R24">SUM(E12:Q12)</f>
        <v>0</v>
      </c>
      <c r="S12" s="258"/>
    </row>
    <row r="13" spans="2:19" ht="27.75" customHeight="1">
      <c r="B13" s="265" t="s">
        <v>177</v>
      </c>
      <c r="C13" s="261" t="s">
        <v>369</v>
      </c>
      <c r="D13" s="262"/>
      <c r="E13" s="263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13500</v>
      </c>
      <c r="Q13" s="264">
        <v>0</v>
      </c>
      <c r="R13" s="264">
        <f t="shared" si="0"/>
        <v>13500</v>
      </c>
      <c r="S13" s="258"/>
    </row>
    <row r="14" spans="2:19" ht="27.75" customHeight="1">
      <c r="B14" s="258"/>
      <c r="C14" s="261" t="s">
        <v>370</v>
      </c>
      <c r="D14" s="262"/>
      <c r="E14" s="263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  <c r="Q14" s="264">
        <v>0</v>
      </c>
      <c r="R14" s="264">
        <f t="shared" si="0"/>
        <v>0</v>
      </c>
      <c r="S14" s="258"/>
    </row>
    <row r="15" spans="2:19" ht="27.75" customHeight="1">
      <c r="B15" s="265" t="s">
        <v>178</v>
      </c>
      <c r="C15" s="261" t="s">
        <v>371</v>
      </c>
      <c r="D15" s="262"/>
      <c r="E15" s="263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1080</v>
      </c>
      <c r="K15" s="264">
        <v>0</v>
      </c>
      <c r="L15" s="264">
        <v>0</v>
      </c>
      <c r="M15" s="264">
        <v>0</v>
      </c>
      <c r="N15" s="264">
        <v>1540</v>
      </c>
      <c r="O15" s="264">
        <v>0</v>
      </c>
      <c r="P15" s="264">
        <v>0</v>
      </c>
      <c r="Q15" s="264">
        <v>3307</v>
      </c>
      <c r="R15" s="264">
        <f t="shared" si="0"/>
        <v>5927</v>
      </c>
      <c r="S15" s="258"/>
    </row>
    <row r="16" spans="2:19" ht="27.75" customHeight="1">
      <c r="B16" s="258"/>
      <c r="C16" s="261" t="s">
        <v>372</v>
      </c>
      <c r="D16" s="262"/>
      <c r="E16" s="263">
        <v>0</v>
      </c>
      <c r="F16" s="264">
        <v>0</v>
      </c>
      <c r="G16" s="264">
        <v>0</v>
      </c>
      <c r="H16" s="264">
        <v>0</v>
      </c>
      <c r="I16" s="264">
        <v>0</v>
      </c>
      <c r="J16" s="264">
        <v>1080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1050</v>
      </c>
      <c r="R16" s="264">
        <f t="shared" si="0"/>
        <v>2130</v>
      </c>
      <c r="S16" s="258"/>
    </row>
    <row r="17" spans="2:19" ht="27.75" customHeight="1">
      <c r="B17" s="265" t="s">
        <v>131</v>
      </c>
      <c r="C17" s="261" t="s">
        <v>373</v>
      </c>
      <c r="D17" s="262"/>
      <c r="E17" s="263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f t="shared" si="0"/>
        <v>0</v>
      </c>
      <c r="S17" s="258"/>
    </row>
    <row r="18" spans="2:19" ht="27.75" customHeight="1">
      <c r="B18" s="258"/>
      <c r="C18" s="261" t="s">
        <v>374</v>
      </c>
      <c r="D18" s="262"/>
      <c r="E18" s="263">
        <v>50000</v>
      </c>
      <c r="F18" s="264">
        <v>0</v>
      </c>
      <c r="G18" s="264">
        <v>0</v>
      </c>
      <c r="H18" s="264">
        <v>420</v>
      </c>
      <c r="I18" s="264">
        <v>0</v>
      </c>
      <c r="J18" s="264">
        <v>750</v>
      </c>
      <c r="K18" s="264">
        <v>0</v>
      </c>
      <c r="L18" s="264">
        <v>0</v>
      </c>
      <c r="M18" s="264">
        <v>3638</v>
      </c>
      <c r="N18" s="264">
        <v>0</v>
      </c>
      <c r="O18" s="264">
        <v>0</v>
      </c>
      <c r="P18" s="264">
        <v>0</v>
      </c>
      <c r="Q18" s="264">
        <v>500775</v>
      </c>
      <c r="R18" s="264">
        <f t="shared" si="0"/>
        <v>555583</v>
      </c>
      <c r="S18" s="258"/>
    </row>
    <row r="19" spans="2:19" ht="27.75" customHeight="1">
      <c r="B19" s="265" t="s">
        <v>119</v>
      </c>
      <c r="C19" s="266" t="s">
        <v>179</v>
      </c>
      <c r="D19" s="262"/>
      <c r="E19" s="263">
        <v>0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119703</v>
      </c>
      <c r="N19" s="264">
        <v>0</v>
      </c>
      <c r="O19" s="264">
        <v>0</v>
      </c>
      <c r="P19" s="264">
        <v>27000</v>
      </c>
      <c r="Q19" s="264">
        <v>0</v>
      </c>
      <c r="R19" s="264">
        <f t="shared" si="0"/>
        <v>146703</v>
      </c>
      <c r="S19" s="258"/>
    </row>
    <row r="20" spans="2:19" ht="27.75" customHeight="1">
      <c r="B20" s="267"/>
      <c r="C20" s="268" t="s">
        <v>383</v>
      </c>
      <c r="D20" s="269"/>
      <c r="E20" s="270">
        <f>E9+E10+E11+E12+E13+E14+E15+E16+E17+E18-E19</f>
        <v>897748</v>
      </c>
      <c r="F20" s="271">
        <f>F9+F10+F11+F12+F13+F14+F15+F16+F17+F18-F19</f>
        <v>100000</v>
      </c>
      <c r="G20" s="271">
        <f>G9+G10+G11+G12+G13+G14+G15+G16+G17+G18-G19</f>
        <v>938017</v>
      </c>
      <c r="H20" s="271">
        <f aca="true" t="shared" si="1" ref="H20:Q20">H9+H10+H11+H12+H13+H14+H15+H16+H17+H18-H19</f>
        <v>85382</v>
      </c>
      <c r="I20" s="271">
        <f t="shared" si="1"/>
        <v>375989</v>
      </c>
      <c r="J20" s="271">
        <f t="shared" si="1"/>
        <v>318828</v>
      </c>
      <c r="K20" s="271">
        <f t="shared" si="1"/>
        <v>27559</v>
      </c>
      <c r="L20" s="271">
        <f t="shared" si="1"/>
        <v>59083</v>
      </c>
      <c r="M20" s="271">
        <f t="shared" si="1"/>
        <v>187557</v>
      </c>
      <c r="N20" s="271">
        <f t="shared" si="1"/>
        <v>33942</v>
      </c>
      <c r="O20" s="271">
        <f t="shared" si="1"/>
        <v>21767</v>
      </c>
      <c r="P20" s="271">
        <f t="shared" si="1"/>
        <v>75319</v>
      </c>
      <c r="Q20" s="271">
        <f t="shared" si="1"/>
        <v>667724</v>
      </c>
      <c r="R20" s="271">
        <f t="shared" si="0"/>
        <v>3788915</v>
      </c>
      <c r="S20" s="258"/>
    </row>
    <row r="21" spans="2:19" ht="27.75" customHeight="1">
      <c r="B21" s="258"/>
      <c r="C21" s="272" t="s">
        <v>375</v>
      </c>
      <c r="D21" s="262"/>
      <c r="E21" s="263">
        <v>642506</v>
      </c>
      <c r="F21" s="264">
        <v>79456</v>
      </c>
      <c r="G21" s="264">
        <v>667675</v>
      </c>
      <c r="H21" s="264">
        <v>39847</v>
      </c>
      <c r="I21" s="264">
        <v>49101</v>
      </c>
      <c r="J21" s="264">
        <v>161281</v>
      </c>
      <c r="K21" s="264">
        <v>43926</v>
      </c>
      <c r="L21" s="264">
        <v>0</v>
      </c>
      <c r="M21" s="264">
        <v>139633</v>
      </c>
      <c r="N21" s="264">
        <v>10732</v>
      </c>
      <c r="O21" s="264">
        <v>9245</v>
      </c>
      <c r="P21" s="264">
        <v>59073</v>
      </c>
      <c r="Q21" s="264">
        <v>42644</v>
      </c>
      <c r="R21" s="264">
        <f t="shared" si="0"/>
        <v>1945119</v>
      </c>
      <c r="S21" s="258"/>
    </row>
    <row r="22" spans="2:19" ht="27.75" customHeight="1">
      <c r="B22" s="265" t="s">
        <v>180</v>
      </c>
      <c r="C22" s="266" t="s">
        <v>181</v>
      </c>
      <c r="D22" s="273" t="s">
        <v>376</v>
      </c>
      <c r="E22" s="263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f t="shared" si="0"/>
        <v>0</v>
      </c>
      <c r="S22" s="258"/>
    </row>
    <row r="23" spans="2:19" ht="27.75" customHeight="1">
      <c r="B23" s="265" t="s">
        <v>176</v>
      </c>
      <c r="C23" s="261" t="s">
        <v>377</v>
      </c>
      <c r="D23" s="262"/>
      <c r="E23" s="263">
        <v>850517</v>
      </c>
      <c r="F23" s="264">
        <v>127821</v>
      </c>
      <c r="G23" s="264">
        <v>450253</v>
      </c>
      <c r="H23" s="264">
        <v>43135</v>
      </c>
      <c r="I23" s="264">
        <v>489755</v>
      </c>
      <c r="J23" s="264">
        <v>261100</v>
      </c>
      <c r="K23" s="264">
        <v>41339</v>
      </c>
      <c r="L23" s="264">
        <v>59083</v>
      </c>
      <c r="M23" s="264">
        <v>137710</v>
      </c>
      <c r="N23" s="264">
        <v>23253</v>
      </c>
      <c r="O23" s="264">
        <v>26347</v>
      </c>
      <c r="P23" s="264">
        <v>16246</v>
      </c>
      <c r="Q23" s="264">
        <v>282418</v>
      </c>
      <c r="R23" s="264">
        <f t="shared" si="0"/>
        <v>2808977</v>
      </c>
      <c r="S23" s="258"/>
    </row>
    <row r="24" spans="2:20" ht="36" customHeight="1">
      <c r="B24" s="265" t="s">
        <v>177</v>
      </c>
      <c r="C24" s="464" t="s">
        <v>380</v>
      </c>
      <c r="D24" s="465"/>
      <c r="E24" s="274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64">
        <f t="shared" si="0"/>
        <v>0</v>
      </c>
      <c r="S24" s="276"/>
      <c r="T24" s="277"/>
    </row>
    <row r="25" spans="2:19" ht="27.75" customHeight="1">
      <c r="B25" s="265" t="s">
        <v>182</v>
      </c>
      <c r="C25" s="261" t="s">
        <v>378</v>
      </c>
      <c r="D25" s="262"/>
      <c r="E25" s="263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f aca="true" t="shared" si="2" ref="R25:R33">SUM(E25:Q25)</f>
        <v>0</v>
      </c>
      <c r="S25" s="258"/>
    </row>
    <row r="26" spans="2:19" ht="27.75" customHeight="1">
      <c r="B26" s="265" t="s">
        <v>183</v>
      </c>
      <c r="C26" s="261" t="s">
        <v>379</v>
      </c>
      <c r="D26" s="262"/>
      <c r="E26" s="263">
        <v>2400</v>
      </c>
      <c r="F26" s="264">
        <v>1500</v>
      </c>
      <c r="G26" s="264">
        <v>0</v>
      </c>
      <c r="H26" s="264">
        <v>2400</v>
      </c>
      <c r="I26" s="264">
        <v>0</v>
      </c>
      <c r="J26" s="264">
        <v>5350</v>
      </c>
      <c r="K26" s="264">
        <v>720</v>
      </c>
      <c r="L26" s="264">
        <v>0</v>
      </c>
      <c r="M26" s="264">
        <v>136</v>
      </c>
      <c r="N26" s="264">
        <v>0</v>
      </c>
      <c r="O26" s="264">
        <v>0</v>
      </c>
      <c r="P26" s="264">
        <v>0</v>
      </c>
      <c r="Q26" s="264">
        <v>506000</v>
      </c>
      <c r="R26" s="264">
        <f t="shared" si="2"/>
        <v>518506</v>
      </c>
      <c r="S26" s="258"/>
    </row>
    <row r="27" spans="2:19" ht="27.75" customHeight="1">
      <c r="B27" s="278"/>
      <c r="C27" s="268" t="s">
        <v>381</v>
      </c>
      <c r="D27" s="269"/>
      <c r="E27" s="270">
        <f>E21+E22+E23+E24+E25+E26</f>
        <v>1495423</v>
      </c>
      <c r="F27" s="271">
        <f aca="true" t="shared" si="3" ref="F27:Q27">F21+F22+F23+F24+F25+F26</f>
        <v>208777</v>
      </c>
      <c r="G27" s="271">
        <f t="shared" si="3"/>
        <v>1117928</v>
      </c>
      <c r="H27" s="271">
        <f t="shared" si="3"/>
        <v>85382</v>
      </c>
      <c r="I27" s="271">
        <f t="shared" si="3"/>
        <v>538856</v>
      </c>
      <c r="J27" s="271">
        <f t="shared" si="3"/>
        <v>427731</v>
      </c>
      <c r="K27" s="271">
        <f t="shared" si="3"/>
        <v>85985</v>
      </c>
      <c r="L27" s="271">
        <f t="shared" si="3"/>
        <v>59083</v>
      </c>
      <c r="M27" s="271">
        <f t="shared" si="3"/>
        <v>277479</v>
      </c>
      <c r="N27" s="271">
        <f t="shared" si="3"/>
        <v>33985</v>
      </c>
      <c r="O27" s="271">
        <f t="shared" si="3"/>
        <v>35592</v>
      </c>
      <c r="P27" s="271">
        <f t="shared" si="3"/>
        <v>75319</v>
      </c>
      <c r="Q27" s="271">
        <f t="shared" si="3"/>
        <v>831062</v>
      </c>
      <c r="R27" s="271">
        <f t="shared" si="2"/>
        <v>5272602</v>
      </c>
      <c r="S27" s="258"/>
    </row>
    <row r="28" spans="2:19" ht="27.75" customHeight="1">
      <c r="B28" s="279" t="s">
        <v>382</v>
      </c>
      <c r="C28" s="280"/>
      <c r="D28" s="280"/>
      <c r="E28" s="270">
        <f>IF((E27-E20)&lt;0,0,E27-E20)</f>
        <v>597675</v>
      </c>
      <c r="F28" s="271">
        <f aca="true" t="shared" si="4" ref="F28:Q28">IF((F27-F20)&lt;0,0,F27-F20)</f>
        <v>108777</v>
      </c>
      <c r="G28" s="271">
        <f t="shared" si="4"/>
        <v>179911</v>
      </c>
      <c r="H28" s="271">
        <f t="shared" si="4"/>
        <v>0</v>
      </c>
      <c r="I28" s="271">
        <f t="shared" si="4"/>
        <v>162867</v>
      </c>
      <c r="J28" s="271">
        <f t="shared" si="4"/>
        <v>108903</v>
      </c>
      <c r="K28" s="271">
        <f t="shared" si="4"/>
        <v>58426</v>
      </c>
      <c r="L28" s="271">
        <f t="shared" si="4"/>
        <v>0</v>
      </c>
      <c r="M28" s="271">
        <f t="shared" si="4"/>
        <v>89922</v>
      </c>
      <c r="N28" s="271">
        <f t="shared" si="4"/>
        <v>43</v>
      </c>
      <c r="O28" s="271">
        <f t="shared" si="4"/>
        <v>13825</v>
      </c>
      <c r="P28" s="271">
        <f t="shared" si="4"/>
        <v>0</v>
      </c>
      <c r="Q28" s="271">
        <f t="shared" si="4"/>
        <v>163338</v>
      </c>
      <c r="R28" s="271">
        <f t="shared" si="2"/>
        <v>1483687</v>
      </c>
      <c r="S28" s="258"/>
    </row>
    <row r="29" spans="2:19" ht="27.75" customHeight="1">
      <c r="B29" s="265" t="s">
        <v>184</v>
      </c>
      <c r="C29" s="266" t="s">
        <v>185</v>
      </c>
      <c r="D29" s="262"/>
      <c r="E29" s="263">
        <v>596914</v>
      </c>
      <c r="F29" s="264">
        <v>0</v>
      </c>
      <c r="G29" s="264">
        <v>148117</v>
      </c>
      <c r="H29" s="264">
        <v>0</v>
      </c>
      <c r="I29" s="264">
        <v>97588</v>
      </c>
      <c r="J29" s="264">
        <v>108615</v>
      </c>
      <c r="K29" s="264">
        <v>58426</v>
      </c>
      <c r="L29" s="264">
        <v>0</v>
      </c>
      <c r="M29" s="264">
        <v>80892</v>
      </c>
      <c r="N29" s="264">
        <v>43</v>
      </c>
      <c r="O29" s="264">
        <v>13825</v>
      </c>
      <c r="P29" s="264">
        <v>0</v>
      </c>
      <c r="Q29" s="264">
        <v>163145</v>
      </c>
      <c r="R29" s="264">
        <f t="shared" si="2"/>
        <v>1267565</v>
      </c>
      <c r="S29" s="258"/>
    </row>
    <row r="30" spans="2:19" ht="27.75" customHeight="1">
      <c r="B30" s="265" t="s">
        <v>186</v>
      </c>
      <c r="C30" s="266" t="s">
        <v>187</v>
      </c>
      <c r="D30" s="262"/>
      <c r="E30" s="263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f t="shared" si="2"/>
        <v>0</v>
      </c>
      <c r="S30" s="258"/>
    </row>
    <row r="31" spans="2:19" ht="27.75" customHeight="1">
      <c r="B31" s="265" t="s">
        <v>188</v>
      </c>
      <c r="C31" s="266" t="s">
        <v>189</v>
      </c>
      <c r="D31" s="262"/>
      <c r="E31" s="263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f t="shared" si="2"/>
        <v>0</v>
      </c>
      <c r="S31" s="258"/>
    </row>
    <row r="32" spans="2:19" ht="27.75" customHeight="1">
      <c r="B32" s="265" t="s">
        <v>190</v>
      </c>
      <c r="C32" s="266" t="s">
        <v>191</v>
      </c>
      <c r="D32" s="262"/>
      <c r="E32" s="263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f t="shared" si="2"/>
        <v>0</v>
      </c>
      <c r="S32" s="258"/>
    </row>
    <row r="33" spans="2:19" ht="27.75" customHeight="1">
      <c r="B33" s="265" t="s">
        <v>192</v>
      </c>
      <c r="C33" s="266" t="s">
        <v>193</v>
      </c>
      <c r="D33" s="262"/>
      <c r="E33" s="263">
        <v>761</v>
      </c>
      <c r="F33" s="264">
        <v>0</v>
      </c>
      <c r="G33" s="264">
        <v>31794</v>
      </c>
      <c r="H33" s="264">
        <v>0</v>
      </c>
      <c r="I33" s="264">
        <v>2338</v>
      </c>
      <c r="J33" s="264">
        <v>288</v>
      </c>
      <c r="K33" s="264">
        <v>0</v>
      </c>
      <c r="L33" s="264">
        <v>0</v>
      </c>
      <c r="M33" s="264">
        <v>9030</v>
      </c>
      <c r="N33" s="264">
        <v>0</v>
      </c>
      <c r="O33" s="264">
        <v>0</v>
      </c>
      <c r="P33" s="264">
        <v>0</v>
      </c>
      <c r="Q33" s="264">
        <v>193</v>
      </c>
      <c r="R33" s="264">
        <f t="shared" si="2"/>
        <v>44404</v>
      </c>
      <c r="S33" s="258"/>
    </row>
    <row r="34" spans="2:19" ht="27.75" customHeight="1">
      <c r="B34" s="281" t="s">
        <v>194</v>
      </c>
      <c r="C34" s="268" t="s">
        <v>381</v>
      </c>
      <c r="D34" s="269"/>
      <c r="E34" s="270">
        <f>E29+E30+E31+E32+E33</f>
        <v>597675</v>
      </c>
      <c r="F34" s="271">
        <f aca="true" t="shared" si="5" ref="F34:Q34">F29+F30+F31+F32+F33</f>
        <v>0</v>
      </c>
      <c r="G34" s="271">
        <f t="shared" si="5"/>
        <v>179911</v>
      </c>
      <c r="H34" s="271">
        <f t="shared" si="5"/>
        <v>0</v>
      </c>
      <c r="I34" s="271">
        <f t="shared" si="5"/>
        <v>99926</v>
      </c>
      <c r="J34" s="271">
        <f t="shared" si="5"/>
        <v>108903</v>
      </c>
      <c r="K34" s="271">
        <f t="shared" si="5"/>
        <v>58426</v>
      </c>
      <c r="L34" s="271">
        <f t="shared" si="5"/>
        <v>0</v>
      </c>
      <c r="M34" s="271">
        <f t="shared" si="5"/>
        <v>89922</v>
      </c>
      <c r="N34" s="271">
        <f t="shared" si="5"/>
        <v>43</v>
      </c>
      <c r="O34" s="271">
        <f t="shared" si="5"/>
        <v>13825</v>
      </c>
      <c r="P34" s="271">
        <f t="shared" si="5"/>
        <v>0</v>
      </c>
      <c r="Q34" s="271">
        <f t="shared" si="5"/>
        <v>163338</v>
      </c>
      <c r="R34" s="271">
        <f>SUM(E34:Q34)</f>
        <v>1311969</v>
      </c>
      <c r="S34" s="258"/>
    </row>
    <row r="35" spans="2:19" ht="27.75" customHeight="1" thickBot="1">
      <c r="B35" s="282" t="s">
        <v>315</v>
      </c>
      <c r="C35" s="256"/>
      <c r="D35" s="256"/>
      <c r="E35" s="283">
        <f>IF((E28-E34)&lt;0,0,E28-E34)</f>
        <v>0</v>
      </c>
      <c r="F35" s="284">
        <f>IF((F28-F34)&lt;0,0,F28-F34)</f>
        <v>108777</v>
      </c>
      <c r="G35" s="284">
        <f aca="true" t="shared" si="6" ref="G35:Q35">IF((G28-G34)&lt;0,0,G28-G34)</f>
        <v>0</v>
      </c>
      <c r="H35" s="284">
        <f t="shared" si="6"/>
        <v>0</v>
      </c>
      <c r="I35" s="284">
        <f t="shared" si="6"/>
        <v>62941</v>
      </c>
      <c r="J35" s="284">
        <f t="shared" si="6"/>
        <v>0</v>
      </c>
      <c r="K35" s="284">
        <f t="shared" si="6"/>
        <v>0</v>
      </c>
      <c r="L35" s="284">
        <f t="shared" si="6"/>
        <v>0</v>
      </c>
      <c r="M35" s="284">
        <f t="shared" si="6"/>
        <v>0</v>
      </c>
      <c r="N35" s="284">
        <f t="shared" si="6"/>
        <v>0</v>
      </c>
      <c r="O35" s="284">
        <f t="shared" si="6"/>
        <v>0</v>
      </c>
      <c r="P35" s="284">
        <f t="shared" si="6"/>
        <v>0</v>
      </c>
      <c r="Q35" s="284">
        <f t="shared" si="6"/>
        <v>0</v>
      </c>
      <c r="R35" s="284">
        <f>SUM(E35:Q35)</f>
        <v>171718</v>
      </c>
      <c r="S35" s="258"/>
    </row>
    <row r="38" spans="5:19" ht="17.25"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f>SUM(E38:Q38)</f>
        <v>0</v>
      </c>
      <c r="S38" s="285">
        <v>0</v>
      </c>
    </row>
  </sheetData>
  <mergeCells count="2">
    <mergeCell ref="C24:D24"/>
    <mergeCell ref="H6:H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showGridLines="0" view="pageBreakPreview" zoomScale="65" zoomScaleNormal="65" zoomScaleSheetLayoutView="65" workbookViewId="0" topLeftCell="A1">
      <pane xSplit="3" ySplit="8" topLeftCell="D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8.66015625" defaultRowHeight="18"/>
  <cols>
    <col min="1" max="1" width="1.66015625" style="198" customWidth="1"/>
    <col min="2" max="2" width="8.66015625" style="198" customWidth="1"/>
    <col min="3" max="3" width="28.66015625" style="198" customWidth="1"/>
    <col min="4" max="16" width="11.66015625" style="198" customWidth="1"/>
    <col min="17" max="17" width="12.66015625" style="198" customWidth="1"/>
    <col min="18" max="18" width="1.66015625" style="198" customWidth="1"/>
    <col min="19" max="19" width="2.66015625" style="198" customWidth="1"/>
    <col min="20" max="22" width="12.66015625" style="198" customWidth="1"/>
    <col min="23" max="16384" width="8.66015625" style="198" customWidth="1"/>
  </cols>
  <sheetData>
    <row r="1" ht="25.5" customHeight="1">
      <c r="B1" s="197" t="s">
        <v>0</v>
      </c>
    </row>
    <row r="2" ht="14.25" customHeight="1"/>
    <row r="3" spans="2:17" ht="25.5" customHeight="1" thickBot="1">
      <c r="B3" s="199" t="s">
        <v>195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8" ht="25.5" customHeight="1">
      <c r="B4" s="200"/>
      <c r="D4" s="315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16"/>
      <c r="R4" s="200"/>
    </row>
    <row r="5" spans="2:18" ht="25.5" customHeight="1">
      <c r="B5" s="200"/>
      <c r="C5" s="198" t="s">
        <v>196</v>
      </c>
      <c r="D5" s="317" t="s">
        <v>3</v>
      </c>
      <c r="E5" s="318" t="s">
        <v>4</v>
      </c>
      <c r="F5" s="318" t="s">
        <v>5</v>
      </c>
      <c r="G5" s="318" t="s">
        <v>6</v>
      </c>
      <c r="H5" s="318" t="s">
        <v>7</v>
      </c>
      <c r="I5" s="318" t="s">
        <v>8</v>
      </c>
      <c r="J5" s="318" t="s">
        <v>9</v>
      </c>
      <c r="K5" s="318" t="s">
        <v>240</v>
      </c>
      <c r="L5" s="318" t="s">
        <v>241</v>
      </c>
      <c r="M5" s="318" t="s">
        <v>242</v>
      </c>
      <c r="N5" s="318" t="s">
        <v>10</v>
      </c>
      <c r="O5" s="318" t="s">
        <v>243</v>
      </c>
      <c r="P5" s="318" t="s">
        <v>11</v>
      </c>
      <c r="Q5" s="316"/>
      <c r="R5" s="200"/>
    </row>
    <row r="6" spans="2:18" ht="25.5" customHeight="1">
      <c r="B6" s="200"/>
      <c r="D6" s="315"/>
      <c r="E6" s="77"/>
      <c r="F6" s="77"/>
      <c r="G6" s="462" t="s">
        <v>494</v>
      </c>
      <c r="H6" s="77"/>
      <c r="I6" s="77"/>
      <c r="J6" s="77"/>
      <c r="K6" s="77"/>
      <c r="L6" s="77"/>
      <c r="M6" s="77"/>
      <c r="N6" s="77"/>
      <c r="O6" s="77"/>
      <c r="P6" s="77"/>
      <c r="Q6" s="319" t="s">
        <v>12</v>
      </c>
      <c r="R6" s="200"/>
    </row>
    <row r="7" spans="2:18" ht="25.5" customHeight="1">
      <c r="B7" s="200" t="s">
        <v>92</v>
      </c>
      <c r="D7" s="315" t="s">
        <v>357</v>
      </c>
      <c r="E7" s="77" t="s">
        <v>357</v>
      </c>
      <c r="F7" s="77"/>
      <c r="G7" s="463"/>
      <c r="H7" s="77"/>
      <c r="I7" s="77"/>
      <c r="J7" s="77" t="s">
        <v>357</v>
      </c>
      <c r="K7" s="77" t="s">
        <v>358</v>
      </c>
      <c r="L7" s="77" t="s">
        <v>359</v>
      </c>
      <c r="M7" s="77" t="s">
        <v>14</v>
      </c>
      <c r="N7" s="77" t="s">
        <v>14</v>
      </c>
      <c r="O7" s="77" t="s">
        <v>360</v>
      </c>
      <c r="P7" s="77"/>
      <c r="Q7" s="320" t="s">
        <v>389</v>
      </c>
      <c r="R7" s="200"/>
    </row>
    <row r="8" spans="2:18" ht="25.5" customHeight="1" thickBot="1">
      <c r="B8" s="201"/>
      <c r="C8" s="202"/>
      <c r="D8" s="118" t="s">
        <v>361</v>
      </c>
      <c r="E8" s="81" t="s">
        <v>362</v>
      </c>
      <c r="F8" s="81" t="s">
        <v>15</v>
      </c>
      <c r="G8" s="81" t="s">
        <v>16</v>
      </c>
      <c r="H8" s="81" t="s">
        <v>321</v>
      </c>
      <c r="I8" s="81" t="s">
        <v>390</v>
      </c>
      <c r="J8" s="81" t="s">
        <v>18</v>
      </c>
      <c r="K8" s="81" t="s">
        <v>320</v>
      </c>
      <c r="L8" s="81" t="s">
        <v>339</v>
      </c>
      <c r="M8" s="81" t="s">
        <v>60</v>
      </c>
      <c r="N8" s="81" t="s">
        <v>61</v>
      </c>
      <c r="O8" s="81" t="s">
        <v>246</v>
      </c>
      <c r="P8" s="81" t="s">
        <v>19</v>
      </c>
      <c r="Q8" s="321"/>
      <c r="R8" s="200"/>
    </row>
    <row r="9" spans="2:22" ht="24.75" customHeight="1">
      <c r="B9" s="203" t="s">
        <v>255</v>
      </c>
      <c r="C9" s="204"/>
      <c r="D9" s="205">
        <f>ROUND(D45/D47*100,1)</f>
        <v>79.5</v>
      </c>
      <c r="E9" s="206">
        <f>ROUND(E45/E47*100,1)</f>
        <v>71.4</v>
      </c>
      <c r="F9" s="206">
        <f>ROUND(F45/F47*100,1)</f>
        <v>77.2</v>
      </c>
      <c r="G9" s="206">
        <f>ROUND(G45/G47*100,1)</f>
        <v>51.4</v>
      </c>
      <c r="H9" s="206">
        <f>ROUND(H45/H47*100,1)</f>
        <v>65.2</v>
      </c>
      <c r="I9" s="206">
        <f aca="true" t="shared" si="0" ref="I9:P9">ROUND(I45/I47*100,1)</f>
        <v>79.3</v>
      </c>
      <c r="J9" s="206">
        <f t="shared" si="0"/>
        <v>48.6</v>
      </c>
      <c r="K9" s="206">
        <f>ROUND(K45/K47*100,1)</f>
        <v>81.1</v>
      </c>
      <c r="L9" s="206">
        <f>ROUND(L45/L47*100,1)</f>
        <v>42</v>
      </c>
      <c r="M9" s="206">
        <f t="shared" si="0"/>
        <v>77.8</v>
      </c>
      <c r="N9" s="206">
        <f t="shared" si="0"/>
        <v>98.9</v>
      </c>
      <c r="O9" s="206">
        <f t="shared" si="0"/>
        <v>64.8</v>
      </c>
      <c r="P9" s="206">
        <f t="shared" si="0"/>
        <v>69.1</v>
      </c>
      <c r="Q9" s="206">
        <f>ROUND(Q45/Q47*100,1)</f>
        <v>69.8</v>
      </c>
      <c r="R9" s="200"/>
      <c r="T9" s="207"/>
      <c r="U9" s="207"/>
      <c r="V9" s="207"/>
    </row>
    <row r="10" spans="2:22" ht="24.75" customHeight="1">
      <c r="B10" s="203" t="s">
        <v>316</v>
      </c>
      <c r="C10" s="204"/>
      <c r="D10" s="205">
        <f>ROUND(D49/D45*100,1)</f>
        <v>237.9</v>
      </c>
      <c r="E10" s="206">
        <f aca="true" t="shared" si="1" ref="E10:Q10">ROUND(E49/E45*100,1)</f>
        <v>189.1</v>
      </c>
      <c r="F10" s="206">
        <f t="shared" si="1"/>
        <v>150.7</v>
      </c>
      <c r="G10" s="206">
        <f t="shared" si="1"/>
        <v>285.1</v>
      </c>
      <c r="H10" s="206">
        <f t="shared" si="1"/>
        <v>151.4</v>
      </c>
      <c r="I10" s="206">
        <f t="shared" si="1"/>
        <v>157.7</v>
      </c>
      <c r="J10" s="206">
        <f t="shared" si="1"/>
        <v>238</v>
      </c>
      <c r="K10" s="206">
        <f>ROUND(K49/K45*100,1)</f>
        <v>243.7</v>
      </c>
      <c r="L10" s="206">
        <f>ROUND(L49/L45*100,1)</f>
        <v>206</v>
      </c>
      <c r="M10" s="206">
        <f t="shared" si="1"/>
        <v>272.8</v>
      </c>
      <c r="N10" s="206">
        <f t="shared" si="1"/>
        <v>166.4</v>
      </c>
      <c r="O10" s="206">
        <f t="shared" si="1"/>
        <v>250.2</v>
      </c>
      <c r="P10" s="206">
        <f t="shared" si="1"/>
        <v>146.2</v>
      </c>
      <c r="Q10" s="206">
        <f t="shared" si="1"/>
        <v>194.6</v>
      </c>
      <c r="R10" s="200"/>
      <c r="T10" s="207"/>
      <c r="U10" s="207"/>
      <c r="V10" s="207"/>
    </row>
    <row r="11" spans="2:22" ht="24.75" customHeight="1">
      <c r="B11" s="203" t="s">
        <v>317</v>
      </c>
      <c r="C11" s="204"/>
      <c r="D11" s="208">
        <f>+D45/D51</f>
        <v>451.71232876712327</v>
      </c>
      <c r="E11" s="209">
        <f aca="true" t="shared" si="2" ref="E11:P11">+E45/E51</f>
        <v>229.83013698630137</v>
      </c>
      <c r="F11" s="209">
        <f t="shared" si="2"/>
        <v>505.10382513661204</v>
      </c>
      <c r="G11" s="209">
        <f t="shared" si="2"/>
        <v>60.27945205479452</v>
      </c>
      <c r="H11" s="209">
        <f t="shared" si="2"/>
        <v>130.31506849315068</v>
      </c>
      <c r="I11" s="209">
        <f t="shared" si="2"/>
        <v>202.16164383561645</v>
      </c>
      <c r="J11" s="209">
        <f t="shared" si="2"/>
        <v>48.635616438356166</v>
      </c>
      <c r="K11" s="209">
        <f>+K45/K51</f>
        <v>73.01643835616439</v>
      </c>
      <c r="L11" s="209">
        <f>+L45/L51</f>
        <v>118.06575342465753</v>
      </c>
      <c r="M11" s="209">
        <f t="shared" si="2"/>
        <v>23.328767123287673</v>
      </c>
      <c r="N11" s="209">
        <f t="shared" si="2"/>
        <v>49.463013698630135</v>
      </c>
      <c r="O11" s="209">
        <f t="shared" si="2"/>
        <v>49.28493150684932</v>
      </c>
      <c r="P11" s="209">
        <f t="shared" si="2"/>
        <v>199.0958904109589</v>
      </c>
      <c r="Q11" s="209">
        <f>+Q45/Q51</f>
        <v>151.0580758273066</v>
      </c>
      <c r="R11" s="200"/>
      <c r="T11" s="207"/>
      <c r="U11" s="207"/>
      <c r="V11" s="207"/>
    </row>
    <row r="12" spans="2:22" ht="24.75" customHeight="1">
      <c r="B12" s="203" t="s">
        <v>256</v>
      </c>
      <c r="C12" s="204"/>
      <c r="D12" s="208">
        <f>+D49/D52</f>
        <v>1620.7107438016528</v>
      </c>
      <c r="E12" s="209">
        <f aca="true" t="shared" si="3" ref="E12:P12">+E49/E52</f>
        <v>655.4876033057851</v>
      </c>
      <c r="F12" s="209">
        <f t="shared" si="3"/>
        <v>1016.5109489051094</v>
      </c>
      <c r="G12" s="209">
        <f t="shared" si="3"/>
        <v>259.1735537190083</v>
      </c>
      <c r="H12" s="209">
        <f t="shared" si="3"/>
        <v>297.62396694214874</v>
      </c>
      <c r="I12" s="209">
        <f t="shared" si="3"/>
        <v>480.7396694214876</v>
      </c>
      <c r="J12" s="209">
        <f t="shared" si="3"/>
        <v>174.55371900826447</v>
      </c>
      <c r="K12" s="209">
        <f>+K49/K52</f>
        <v>268.37603305785126</v>
      </c>
      <c r="L12" s="209">
        <f>+L49/L52</f>
        <v>303.0341296928328</v>
      </c>
      <c r="M12" s="209">
        <f t="shared" si="3"/>
        <v>95.98347107438016</v>
      </c>
      <c r="N12" s="209">
        <f t="shared" si="3"/>
        <v>113.81439393939394</v>
      </c>
      <c r="O12" s="209">
        <f t="shared" si="3"/>
        <v>185.95867768595042</v>
      </c>
      <c r="P12" s="209">
        <f t="shared" si="3"/>
        <v>437.18930041152265</v>
      </c>
      <c r="Q12" s="209">
        <f>+Q49/Q52</f>
        <v>430.71524879614765</v>
      </c>
      <c r="R12" s="200"/>
      <c r="T12" s="207"/>
      <c r="U12" s="207"/>
      <c r="V12" s="207"/>
    </row>
    <row r="13" spans="2:22" ht="24.75" customHeight="1">
      <c r="B13" s="210" t="s">
        <v>318</v>
      </c>
      <c r="C13" s="204"/>
      <c r="D13" s="211">
        <f aca="true" t="shared" si="4" ref="D13:Q13">+((D55+D56)/(D45+D49))*1000</f>
        <v>26449.874077119013</v>
      </c>
      <c r="E13" s="209">
        <f t="shared" si="4"/>
        <v>21234.99068102723</v>
      </c>
      <c r="F13" s="209">
        <f t="shared" si="4"/>
        <v>25074.921448794976</v>
      </c>
      <c r="G13" s="209">
        <f t="shared" si="4"/>
        <v>16227.756662968297</v>
      </c>
      <c r="H13" s="209">
        <f t="shared" si="4"/>
        <v>21675.76720461577</v>
      </c>
      <c r="I13" s="209">
        <f t="shared" si="4"/>
        <v>19228.730118656906</v>
      </c>
      <c r="J13" s="209">
        <f t="shared" si="4"/>
        <v>19077.691102443576</v>
      </c>
      <c r="K13" s="209">
        <f>+((K55+K56)/(K45+K49))*1000</f>
        <v>10154.861459857202</v>
      </c>
      <c r="L13" s="209">
        <f>+((L55+L56)/(L45+L49))*1000</f>
        <v>19757.52750544043</v>
      </c>
      <c r="M13" s="209">
        <f t="shared" si="4"/>
        <v>9600.604857763916</v>
      </c>
      <c r="N13" s="209">
        <f t="shared" si="4"/>
        <v>10521.860252385606</v>
      </c>
      <c r="O13" s="209">
        <f t="shared" si="4"/>
        <v>9026.892730707563</v>
      </c>
      <c r="P13" s="209">
        <f t="shared" si="4"/>
        <v>17939.292481568635</v>
      </c>
      <c r="Q13" s="212">
        <f t="shared" si="4"/>
        <v>20968.83142717026</v>
      </c>
      <c r="R13" s="200"/>
      <c r="T13" s="207"/>
      <c r="U13" s="207"/>
      <c r="V13" s="207"/>
    </row>
    <row r="14" spans="2:22" ht="24.75" customHeight="1">
      <c r="B14" s="200"/>
      <c r="C14" s="213" t="s">
        <v>257</v>
      </c>
      <c r="D14" s="214">
        <f aca="true" t="shared" si="5" ref="D14:Q14">+(D55/D45)*1000</f>
        <v>58681.96512509477</v>
      </c>
      <c r="E14" s="215">
        <f t="shared" si="5"/>
        <v>41404.420179286666</v>
      </c>
      <c r="F14" s="215">
        <f t="shared" si="5"/>
        <v>42620.615790726355</v>
      </c>
      <c r="G14" s="215">
        <f t="shared" si="5"/>
        <v>40279.2473411508</v>
      </c>
      <c r="H14" s="215">
        <f t="shared" si="5"/>
        <v>38857.22695259119</v>
      </c>
      <c r="I14" s="215">
        <f t="shared" si="5"/>
        <v>30598.544498502488</v>
      </c>
      <c r="J14" s="215">
        <f t="shared" si="5"/>
        <v>28668.600721045514</v>
      </c>
      <c r="K14" s="215">
        <f>+(K55/K45)*1000</f>
        <v>21160.78195940115</v>
      </c>
      <c r="L14" s="215">
        <f>+(L55/L45)*1000</f>
        <v>36402.12094491113</v>
      </c>
      <c r="M14" s="215">
        <f t="shared" si="5"/>
        <v>17768.291250733997</v>
      </c>
      <c r="N14" s="215">
        <f t="shared" si="5"/>
        <v>20493.353273512796</v>
      </c>
      <c r="O14" s="215">
        <f t="shared" si="5"/>
        <v>17596.69798210017</v>
      </c>
      <c r="P14" s="215">
        <f t="shared" si="5"/>
        <v>29024.01265996973</v>
      </c>
      <c r="Q14" s="219">
        <f t="shared" si="5"/>
        <v>40142.03412846486</v>
      </c>
      <c r="R14" s="200"/>
      <c r="T14" s="207"/>
      <c r="U14" s="207"/>
      <c r="V14" s="207"/>
    </row>
    <row r="15" spans="2:22" ht="24.75" customHeight="1">
      <c r="B15" s="216"/>
      <c r="C15" s="217" t="s">
        <v>258</v>
      </c>
      <c r="D15" s="208">
        <f aca="true" t="shared" si="6" ref="D15:Q15">+(D56/D49)*1000</f>
        <v>12900.400803647008</v>
      </c>
      <c r="E15" s="209">
        <f t="shared" si="6"/>
        <v>10568.695312302998</v>
      </c>
      <c r="F15" s="209">
        <f t="shared" si="6"/>
        <v>13429.112033433385</v>
      </c>
      <c r="G15" s="209">
        <f t="shared" si="6"/>
        <v>7790.561224489796</v>
      </c>
      <c r="H15" s="209">
        <f t="shared" si="6"/>
        <v>10329.205137105171</v>
      </c>
      <c r="I15" s="209">
        <f t="shared" si="6"/>
        <v>12017.328668804099</v>
      </c>
      <c r="J15" s="209">
        <f t="shared" si="6"/>
        <v>15047.15685810331</v>
      </c>
      <c r="K15" s="209">
        <f>+(K56/K49)*1000</f>
        <v>5638.582228586386</v>
      </c>
      <c r="L15" s="209">
        <f>+(L56/L49)*1000</f>
        <v>11679.025554967395</v>
      </c>
      <c r="M15" s="209">
        <f t="shared" si="6"/>
        <v>6606.466333735148</v>
      </c>
      <c r="N15" s="209">
        <f t="shared" si="6"/>
        <v>4530.402369620927</v>
      </c>
      <c r="O15" s="209">
        <f t="shared" si="6"/>
        <v>5601.217723656727</v>
      </c>
      <c r="P15" s="209">
        <f t="shared" si="6"/>
        <v>10356.937790035487</v>
      </c>
      <c r="Q15" s="212">
        <f t="shared" si="6"/>
        <v>11118.72818962523</v>
      </c>
      <c r="R15" s="200"/>
      <c r="T15" s="207"/>
      <c r="U15" s="207"/>
      <c r="V15" s="207"/>
    </row>
    <row r="16" spans="2:22" ht="24.75" customHeight="1">
      <c r="B16" s="210" t="s">
        <v>259</v>
      </c>
      <c r="C16" s="204"/>
      <c r="D16" s="208">
        <f>+(D60/(D45+D49))*1000</f>
        <v>4291.83413003714</v>
      </c>
      <c r="E16" s="209">
        <f aca="true" t="shared" si="7" ref="E16:Q16">+(E60/(E45+E49))*1000</f>
        <v>2292.805423147339</v>
      </c>
      <c r="F16" s="209">
        <f t="shared" si="7"/>
        <v>4327.890856985015</v>
      </c>
      <c r="G16" s="209">
        <f t="shared" si="7"/>
        <v>1900.8876088855316</v>
      </c>
      <c r="H16" s="209">
        <f t="shared" si="7"/>
        <v>1790.4256208713102</v>
      </c>
      <c r="I16" s="209">
        <f t="shared" si="7"/>
        <v>2891.715055120761</v>
      </c>
      <c r="J16" s="209">
        <f t="shared" si="7"/>
        <v>3545.704570457046</v>
      </c>
      <c r="K16" s="209">
        <f>+(K60/(K45+K49))*1000</f>
        <v>1225.1140854603811</v>
      </c>
      <c r="L16" s="209">
        <f>+(L60/(L45+L49))*1000</f>
        <v>2143.551481237157</v>
      </c>
      <c r="M16" s="209">
        <f t="shared" si="7"/>
        <v>1268.5946507891504</v>
      </c>
      <c r="N16" s="209">
        <f t="shared" si="7"/>
        <v>509.6151847154945</v>
      </c>
      <c r="O16" s="209">
        <f t="shared" si="7"/>
        <v>892.6830817100856</v>
      </c>
      <c r="P16" s="209">
        <f t="shared" si="7"/>
        <v>1966.446254199109</v>
      </c>
      <c r="Q16" s="212">
        <f t="shared" si="7"/>
        <v>2932.1871079432544</v>
      </c>
      <c r="R16" s="200"/>
      <c r="T16" s="207"/>
      <c r="U16" s="207"/>
      <c r="V16" s="207"/>
    </row>
    <row r="17" spans="2:22" ht="24.75" customHeight="1">
      <c r="B17" s="200"/>
      <c r="C17" s="218" t="s">
        <v>197</v>
      </c>
      <c r="D17" s="214">
        <f>(+D58/(D45+D49))*1000</f>
        <v>1269.5198416046328</v>
      </c>
      <c r="E17" s="215">
        <f aca="true" t="shared" si="8" ref="E17:Q17">(+E58/(E45+E49))*1000</f>
        <v>510.60548582361577</v>
      </c>
      <c r="F17" s="215">
        <f t="shared" si="8"/>
        <v>1461.0955735101168</v>
      </c>
      <c r="G17" s="215">
        <f t="shared" si="8"/>
        <v>334.5530086636293</v>
      </c>
      <c r="H17" s="215">
        <f t="shared" si="8"/>
        <v>446.6176101680743</v>
      </c>
      <c r="I17" s="215">
        <f t="shared" si="8"/>
        <v>842.879533787764</v>
      </c>
      <c r="J17" s="215">
        <f t="shared" si="8"/>
        <v>2448.044804480448</v>
      </c>
      <c r="K17" s="215">
        <f>(+K58/(K45+K49))*1000</f>
        <v>306.9390161357235</v>
      </c>
      <c r="L17" s="215">
        <f>(+L58/(L45+L49))*1000</f>
        <v>300.69076378305016</v>
      </c>
      <c r="M17" s="215">
        <f t="shared" si="8"/>
        <v>597.265538858961</v>
      </c>
      <c r="N17" s="215">
        <f t="shared" si="8"/>
        <v>126.44227770732417</v>
      </c>
      <c r="O17" s="215">
        <f t="shared" si="8"/>
        <v>437.4116937340255</v>
      </c>
      <c r="P17" s="215">
        <f t="shared" si="8"/>
        <v>440.8994617315141</v>
      </c>
      <c r="Q17" s="219">
        <f t="shared" si="8"/>
        <v>865.4623733847509</v>
      </c>
      <c r="R17" s="200"/>
      <c r="T17" s="207"/>
      <c r="U17" s="207"/>
      <c r="V17" s="207"/>
    </row>
    <row r="18" spans="2:22" ht="24.75" customHeight="1">
      <c r="B18" s="216"/>
      <c r="C18" s="220" t="s">
        <v>198</v>
      </c>
      <c r="D18" s="208">
        <f>(+D59/(D45+D49))*1000</f>
        <v>3022.314288432507</v>
      </c>
      <c r="E18" s="209">
        <f aca="true" t="shared" si="9" ref="E18:Q18">(+E59/(E45+E49))*1000</f>
        <v>1782.199937323723</v>
      </c>
      <c r="F18" s="209">
        <f t="shared" si="9"/>
        <v>2866.795283474898</v>
      </c>
      <c r="G18" s="209">
        <f t="shared" si="9"/>
        <v>1566.3346002219023</v>
      </c>
      <c r="H18" s="209">
        <f t="shared" si="9"/>
        <v>1343.808010703236</v>
      </c>
      <c r="I18" s="209">
        <f t="shared" si="9"/>
        <v>2048.835521332997</v>
      </c>
      <c r="J18" s="209">
        <f t="shared" si="9"/>
        <v>1097.6597659765976</v>
      </c>
      <c r="K18" s="209">
        <f>(+K59/(K45+K49))*1000</f>
        <v>918.1750693246578</v>
      </c>
      <c r="L18" s="209">
        <f>(+L59/(L45+L49))*1000</f>
        <v>1842.8607174541069</v>
      </c>
      <c r="M18" s="209">
        <f t="shared" si="9"/>
        <v>671.3291119301892</v>
      </c>
      <c r="N18" s="209">
        <f t="shared" si="9"/>
        <v>383.1729070081703</v>
      </c>
      <c r="O18" s="209">
        <f t="shared" si="9"/>
        <v>455.2713879760601</v>
      </c>
      <c r="P18" s="209">
        <f t="shared" si="9"/>
        <v>1525.546792467595</v>
      </c>
      <c r="Q18" s="212">
        <f t="shared" si="9"/>
        <v>2066.7247345585038</v>
      </c>
      <c r="R18" s="200"/>
      <c r="T18" s="207"/>
      <c r="U18" s="207"/>
      <c r="V18" s="207"/>
    </row>
    <row r="19" spans="2:22" ht="24.75" customHeight="1">
      <c r="B19" s="203" t="s">
        <v>260</v>
      </c>
      <c r="C19" s="204"/>
      <c r="D19" s="325">
        <f>(D62/D45)*1000</f>
        <v>0</v>
      </c>
      <c r="E19" s="314">
        <f aca="true" t="shared" si="10" ref="E19:Q19">(E62/E45)*1000</f>
        <v>562.6430478733549</v>
      </c>
      <c r="F19" s="314">
        <f t="shared" si="10"/>
        <v>686.6412791829846</v>
      </c>
      <c r="G19" s="314">
        <f t="shared" si="10"/>
        <v>620.1254431415326</v>
      </c>
      <c r="H19" s="314">
        <f t="shared" si="10"/>
        <v>0</v>
      </c>
      <c r="I19" s="314">
        <f t="shared" si="10"/>
        <v>0</v>
      </c>
      <c r="J19" s="314">
        <f t="shared" si="10"/>
        <v>0</v>
      </c>
      <c r="K19" s="314">
        <f>(K62/K45)*1000</f>
        <v>0</v>
      </c>
      <c r="L19" s="314">
        <f>(L62/L45)*1000</f>
        <v>0</v>
      </c>
      <c r="M19" s="314">
        <f t="shared" si="10"/>
        <v>559.1309453904873</v>
      </c>
      <c r="N19" s="314">
        <f t="shared" si="10"/>
        <v>723.66234629445</v>
      </c>
      <c r="O19" s="314">
        <f t="shared" si="10"/>
        <v>0</v>
      </c>
      <c r="P19" s="314">
        <f t="shared" si="10"/>
        <v>569.6435943305353</v>
      </c>
      <c r="Q19" s="314">
        <f t="shared" si="10"/>
        <v>266.26992302090014</v>
      </c>
      <c r="R19" s="200"/>
      <c r="T19" s="207"/>
      <c r="U19" s="207"/>
      <c r="V19" s="207"/>
    </row>
    <row r="20" spans="2:22" ht="24.75" customHeight="1">
      <c r="B20" s="203" t="s">
        <v>261</v>
      </c>
      <c r="C20" s="204"/>
      <c r="D20" s="205">
        <f>(+D64/D58)*100</f>
        <v>112.76029257684526</v>
      </c>
      <c r="E20" s="206">
        <f aca="true" t="shared" si="11" ref="E20:Q20">(+E64/E58)*100</f>
        <v>96.18590002422677</v>
      </c>
      <c r="F20" s="206">
        <f t="shared" si="11"/>
        <v>113.7825303518152</v>
      </c>
      <c r="G20" s="206">
        <f t="shared" si="11"/>
        <v>100</v>
      </c>
      <c r="H20" s="206">
        <f t="shared" si="11"/>
        <v>116.39737132800359</v>
      </c>
      <c r="I20" s="206">
        <f t="shared" si="11"/>
        <v>66.48216904308758</v>
      </c>
      <c r="J20" s="206">
        <f t="shared" si="11"/>
        <v>118.7161260451562</v>
      </c>
      <c r="K20" s="206">
        <f>(+K64/K58)*100</f>
        <v>100.0462386626356</v>
      </c>
      <c r="L20" s="206">
        <f>(+L64/L58)*100</f>
        <v>100</v>
      </c>
      <c r="M20" s="206">
        <f t="shared" si="11"/>
        <v>100</v>
      </c>
      <c r="N20" s="206">
        <f t="shared" si="11"/>
        <v>100.65767839526471</v>
      </c>
      <c r="O20" s="206">
        <f t="shared" si="11"/>
        <v>80.39777882626211</v>
      </c>
      <c r="P20" s="206">
        <f t="shared" si="11"/>
        <v>105.81643002028397</v>
      </c>
      <c r="Q20" s="206">
        <f t="shared" si="11"/>
        <v>106.4829585666854</v>
      </c>
      <c r="R20" s="200"/>
      <c r="T20" s="207"/>
      <c r="U20" s="207"/>
      <c r="V20" s="207"/>
    </row>
    <row r="21" spans="2:22" ht="24.75" customHeight="1">
      <c r="B21" s="203" t="s">
        <v>262</v>
      </c>
      <c r="C21" s="204"/>
      <c r="D21" s="205">
        <f>(+D65/D59)*100</f>
        <v>106.66048184584828</v>
      </c>
      <c r="E21" s="206">
        <f aca="true" t="shared" si="12" ref="E21:Q21">(+E65/E59)*100</f>
        <v>72.89894773860975</v>
      </c>
      <c r="F21" s="206">
        <f t="shared" si="12"/>
        <v>102.50999284880878</v>
      </c>
      <c r="G21" s="206">
        <f t="shared" si="12"/>
        <v>138.16341755649836</v>
      </c>
      <c r="H21" s="206">
        <f t="shared" si="12"/>
        <v>107.11485569922716</v>
      </c>
      <c r="I21" s="206">
        <f t="shared" si="12"/>
        <v>82.92605913113125</v>
      </c>
      <c r="J21" s="206">
        <f t="shared" si="12"/>
        <v>103.29521813736655</v>
      </c>
      <c r="K21" s="206">
        <f>(+K65/K59)*100</f>
        <v>100.1082006587161</v>
      </c>
      <c r="L21" s="206">
        <f>(+L65/L59)*100</f>
        <v>100</v>
      </c>
      <c r="M21" s="206">
        <f t="shared" si="12"/>
        <v>100</v>
      </c>
      <c r="N21" s="206">
        <f t="shared" si="12"/>
        <v>100.08681026531387</v>
      </c>
      <c r="O21" s="206">
        <f t="shared" si="12"/>
        <v>102.03989120580235</v>
      </c>
      <c r="P21" s="206">
        <f t="shared" si="12"/>
        <v>62.78253477985278</v>
      </c>
      <c r="Q21" s="206">
        <f t="shared" si="12"/>
        <v>97.8208554907566</v>
      </c>
      <c r="R21" s="200"/>
      <c r="T21" s="207"/>
      <c r="U21" s="207"/>
      <c r="V21" s="207"/>
    </row>
    <row r="22" spans="2:22" ht="24.75" customHeight="1">
      <c r="B22" s="200" t="s">
        <v>199</v>
      </c>
      <c r="C22" s="218" t="s">
        <v>200</v>
      </c>
      <c r="D22" s="221">
        <f>(SUM(D67:D70)/(D55+D56))*100</f>
        <v>17.599816381279222</v>
      </c>
      <c r="E22" s="222">
        <f aca="true" t="shared" si="13" ref="E22:Q22">(SUM(E67:E70)/(E55+E56))*100</f>
        <v>8.43106319146767</v>
      </c>
      <c r="F22" s="222">
        <f t="shared" si="13"/>
        <v>18.34990057246781</v>
      </c>
      <c r="G22" s="222">
        <f t="shared" si="13"/>
        <v>15.397411204729542</v>
      </c>
      <c r="H22" s="222">
        <f t="shared" si="13"/>
        <v>9.038984185278556</v>
      </c>
      <c r="I22" s="222">
        <f t="shared" si="13"/>
        <v>11.750038294054574</v>
      </c>
      <c r="J22" s="222">
        <f t="shared" si="13"/>
        <v>21.176849880345674</v>
      </c>
      <c r="K22" s="222">
        <f>(SUM(K67:K70)/(K55+K56))*100</f>
        <v>12.075491982605238</v>
      </c>
      <c r="L22" s="222">
        <f>(SUM(L67:L70)/(L55+L56))*100</f>
        <v>10.849290128265844</v>
      </c>
      <c r="M22" s="222">
        <f t="shared" si="13"/>
        <v>13.213695070089779</v>
      </c>
      <c r="N22" s="222">
        <f t="shared" si="13"/>
        <v>4.854459092058675</v>
      </c>
      <c r="O22" s="222">
        <f t="shared" si="13"/>
        <v>9.042178071904793</v>
      </c>
      <c r="P22" s="222">
        <f t="shared" si="13"/>
        <v>7.93967218835538</v>
      </c>
      <c r="Q22" s="223">
        <f t="shared" si="13"/>
        <v>14.03634612004187</v>
      </c>
      <c r="R22" s="200"/>
      <c r="T22" s="207"/>
      <c r="U22" s="207"/>
      <c r="V22" s="207"/>
    </row>
    <row r="23" spans="2:22" ht="24.75" customHeight="1">
      <c r="B23" s="200" t="s">
        <v>201</v>
      </c>
      <c r="C23" s="218" t="s">
        <v>202</v>
      </c>
      <c r="D23" s="221">
        <f>+((D71+D72)/(D$55+D$56))*100</f>
        <v>10.822937762442738</v>
      </c>
      <c r="E23" s="222">
        <f aca="true" t="shared" si="14" ref="E23:Q23">+((E71+E72)/(E$55+E$56))*100</f>
        <v>8.06817707397824</v>
      </c>
      <c r="F23" s="222">
        <f t="shared" si="14"/>
        <v>8.642303407077643</v>
      </c>
      <c r="G23" s="222">
        <f t="shared" si="14"/>
        <v>9.111989107159483</v>
      </c>
      <c r="H23" s="222">
        <f t="shared" si="14"/>
        <v>10.852112390802425</v>
      </c>
      <c r="I23" s="222">
        <f t="shared" si="14"/>
        <v>8.721935928576118</v>
      </c>
      <c r="J23" s="222">
        <f t="shared" si="14"/>
        <v>5.3970697577294775</v>
      </c>
      <c r="K23" s="222">
        <f>+((K71+K72)/(K$55+K$56))*100</f>
        <v>7.395354587626926</v>
      </c>
      <c r="L23" s="222">
        <f>+((L71+L72)/(L$55+L$56))*100</f>
        <v>10.702073391918123</v>
      </c>
      <c r="M23" s="222">
        <f t="shared" si="14"/>
        <v>10.327741901611802</v>
      </c>
      <c r="N23" s="222">
        <f t="shared" si="14"/>
        <v>8.084771750126455</v>
      </c>
      <c r="O23" s="222">
        <f t="shared" si="14"/>
        <v>11.78358567250485</v>
      </c>
      <c r="P23" s="222">
        <f t="shared" si="14"/>
        <v>6.917103006264284</v>
      </c>
      <c r="Q23" s="224">
        <f t="shared" si="14"/>
        <v>9.412812062261395</v>
      </c>
      <c r="R23" s="200"/>
      <c r="T23" s="207"/>
      <c r="U23" s="207"/>
      <c r="V23" s="207"/>
    </row>
    <row r="24" spans="2:22" ht="24.75" customHeight="1">
      <c r="B24" s="216" t="s">
        <v>203</v>
      </c>
      <c r="C24" s="220" t="s">
        <v>204</v>
      </c>
      <c r="D24" s="205">
        <f>+((D73+D74)/(D$55+D$56))*100</f>
        <v>7.392153353664682</v>
      </c>
      <c r="E24" s="206">
        <f aca="true" t="shared" si="15" ref="E24:Q24">+((E73+E74)/(E$55+E$56))*100</f>
        <v>6.58185472321875</v>
      </c>
      <c r="F24" s="206">
        <f t="shared" si="15"/>
        <v>5.324919673948609</v>
      </c>
      <c r="G24" s="206">
        <f t="shared" si="15"/>
        <v>6.501955125221115</v>
      </c>
      <c r="H24" s="206">
        <f t="shared" si="15"/>
        <v>8.2367713973239</v>
      </c>
      <c r="I24" s="206">
        <f t="shared" si="15"/>
        <v>5.880681196525088</v>
      </c>
      <c r="J24" s="206">
        <f t="shared" si="15"/>
        <v>4.526244881162591</v>
      </c>
      <c r="K24" s="206">
        <f>+((K73+K74)/(K$55+K$56))*100</f>
        <v>3.7929829653878615</v>
      </c>
      <c r="L24" s="206">
        <f>+((L73+L74)/(L$55+L$56))*100</f>
        <v>8.62614854767389</v>
      </c>
      <c r="M24" s="206">
        <f t="shared" si="15"/>
        <v>2.244447944558198</v>
      </c>
      <c r="N24" s="206">
        <f t="shared" si="15"/>
        <v>5.071011949924127</v>
      </c>
      <c r="O24" s="206">
        <f t="shared" si="15"/>
        <v>4.460854746549938</v>
      </c>
      <c r="P24" s="206">
        <f t="shared" si="15"/>
        <v>3.8121306822165066</v>
      </c>
      <c r="Q24" s="206">
        <f t="shared" si="15"/>
        <v>6.451575787355952</v>
      </c>
      <c r="R24" s="200"/>
      <c r="T24" s="207"/>
      <c r="U24" s="207"/>
      <c r="V24" s="207"/>
    </row>
    <row r="25" spans="2:22" ht="24.75" customHeight="1">
      <c r="B25" s="225" t="s">
        <v>263</v>
      </c>
      <c r="C25" s="226"/>
      <c r="D25" s="221">
        <f>+(D76/D$54)*100</f>
        <v>44.777007645811345</v>
      </c>
      <c r="E25" s="222">
        <f aca="true" t="shared" si="16" ref="E25:Q25">+(E76/E54)*100</f>
        <v>64.58421748780503</v>
      </c>
      <c r="F25" s="222">
        <f t="shared" si="16"/>
        <v>47.8886309445168</v>
      </c>
      <c r="G25" s="222">
        <f t="shared" si="16"/>
        <v>72.1079822506564</v>
      </c>
      <c r="H25" s="222">
        <f t="shared" si="16"/>
        <v>60.95663509192113</v>
      </c>
      <c r="I25" s="222">
        <f t="shared" si="16"/>
        <v>56.90819929750557</v>
      </c>
      <c r="J25" s="222">
        <f t="shared" si="16"/>
        <v>57.818444854532615</v>
      </c>
      <c r="K25" s="222">
        <f>+(K76/K54)*100</f>
        <v>87.72153426220402</v>
      </c>
      <c r="L25" s="222">
        <f>+(L76/L54)*100</f>
        <v>59.728489372404425</v>
      </c>
      <c r="M25" s="222">
        <f t="shared" si="16"/>
        <v>91.52170684187074</v>
      </c>
      <c r="N25" s="222">
        <f t="shared" si="16"/>
        <v>61.199359684767884</v>
      </c>
      <c r="O25" s="222">
        <f t="shared" si="16"/>
        <v>64.01520335774083</v>
      </c>
      <c r="P25" s="222">
        <f t="shared" si="16"/>
        <v>58.130539095176516</v>
      </c>
      <c r="Q25" s="223">
        <f t="shared" si="16"/>
        <v>54.722972863782246</v>
      </c>
      <c r="R25" s="227"/>
      <c r="T25" s="207"/>
      <c r="U25" s="207"/>
      <c r="V25" s="207"/>
    </row>
    <row r="26" spans="2:22" ht="24.75" customHeight="1">
      <c r="B26" s="225" t="s">
        <v>264</v>
      </c>
      <c r="C26" s="226"/>
      <c r="D26" s="221">
        <f>+(D77/D$54)*100</f>
        <v>30.75837449587603</v>
      </c>
      <c r="E26" s="222">
        <f aca="true" t="shared" si="17" ref="E26:Q26">+(E77/E$54)*100</f>
        <v>22.68230203614557</v>
      </c>
      <c r="F26" s="222">
        <f t="shared" si="17"/>
        <v>26.920998493061827</v>
      </c>
      <c r="G26" s="222">
        <f t="shared" si="17"/>
        <v>25.630038003977322</v>
      </c>
      <c r="H26" s="222">
        <f t="shared" si="17"/>
        <v>20.115722759299604</v>
      </c>
      <c r="I26" s="222">
        <f t="shared" si="17"/>
        <v>26.49931390540406</v>
      </c>
      <c r="J26" s="222">
        <f t="shared" si="17"/>
        <v>28.016833142935255</v>
      </c>
      <c r="K26" s="222">
        <f>+(K77/K$54)*100</f>
        <v>19.13260192495834</v>
      </c>
      <c r="L26" s="222">
        <f>+(L77/L$54)*100</f>
        <v>24.366546040642927</v>
      </c>
      <c r="M26" s="222">
        <f t="shared" si="17"/>
        <v>16.545078064251204</v>
      </c>
      <c r="N26" s="222">
        <f t="shared" si="17"/>
        <v>10.421306313437825</v>
      </c>
      <c r="O26" s="222">
        <f t="shared" si="17"/>
        <v>11.218321585802595</v>
      </c>
      <c r="P26" s="222">
        <f t="shared" si="17"/>
        <v>19.818858857578643</v>
      </c>
      <c r="Q26" s="224">
        <f t="shared" si="17"/>
        <v>25.795908940849838</v>
      </c>
      <c r="R26" s="227"/>
      <c r="T26" s="207"/>
      <c r="U26" s="207"/>
      <c r="V26" s="207"/>
    </row>
    <row r="27" spans="2:22" ht="24.75" customHeight="1">
      <c r="B27" s="307" t="s">
        <v>265</v>
      </c>
      <c r="C27" s="204"/>
      <c r="D27" s="205">
        <f>+(D78/D$54)*100</f>
        <v>15.820477275960524</v>
      </c>
      <c r="E27" s="206">
        <f aca="true" t="shared" si="18" ref="E27:Q27">+(E78/E$54)*100</f>
        <v>10.119252571297125</v>
      </c>
      <c r="F27" s="206">
        <f t="shared" si="18"/>
        <v>16.60173355836414</v>
      </c>
      <c r="G27" s="206">
        <f t="shared" si="18"/>
        <v>11.397442339403119</v>
      </c>
      <c r="H27" s="206">
        <f t="shared" si="18"/>
        <v>7.323897509149015</v>
      </c>
      <c r="I27" s="206">
        <f t="shared" si="18"/>
        <v>14.266719533663268</v>
      </c>
      <c r="J27" s="206">
        <f t="shared" si="18"/>
        <v>17.308405831063205</v>
      </c>
      <c r="K27" s="206">
        <f>+(K78/K$54)*100</f>
        <v>11.191326019249583</v>
      </c>
      <c r="L27" s="206">
        <f>+(L78/L$54)*100</f>
        <v>9.461038285180535</v>
      </c>
      <c r="M27" s="206">
        <f t="shared" si="18"/>
        <v>11.727548336930026</v>
      </c>
      <c r="N27" s="206">
        <f t="shared" si="18"/>
        <v>4.312100902422292</v>
      </c>
      <c r="O27" s="206">
        <f t="shared" si="18"/>
        <v>8.016691758479892</v>
      </c>
      <c r="P27" s="206">
        <f t="shared" si="18"/>
        <v>10.41536404674274</v>
      </c>
      <c r="Q27" s="206">
        <f t="shared" si="18"/>
        <v>13.219294369901204</v>
      </c>
      <c r="R27" s="227"/>
      <c r="T27" s="207"/>
      <c r="U27" s="207"/>
      <c r="V27" s="207"/>
    </row>
    <row r="28" spans="2:22" ht="24.75" customHeight="1">
      <c r="B28" s="203" t="s">
        <v>266</v>
      </c>
      <c r="C28" s="204"/>
      <c r="D28" s="208">
        <f>+((D$55+D$56)/D80)*1000</f>
        <v>292637.45233555767</v>
      </c>
      <c r="E28" s="209">
        <f aca="true" t="shared" si="19" ref="E28:Q28">+((E$55+E$56)/E80)*1000</f>
        <v>262171.00239270984</v>
      </c>
      <c r="F28" s="209">
        <f t="shared" si="19"/>
        <v>395571.52583917754</v>
      </c>
      <c r="G28" s="209">
        <f t="shared" si="19"/>
        <v>239270.44900800555</v>
      </c>
      <c r="H28" s="209">
        <f t="shared" si="19"/>
        <v>306117.73736419465</v>
      </c>
      <c r="I28" s="209">
        <f t="shared" si="19"/>
        <v>583267.389917039</v>
      </c>
      <c r="J28" s="209">
        <f t="shared" si="19"/>
        <v>447613.21861556516</v>
      </c>
      <c r="K28" s="209">
        <f>+((K$55+K$56)/K80)*1000</f>
        <v>300829.56015523936</v>
      </c>
      <c r="L28" s="209">
        <f>+((L$55+L$56)/L80)*1000</f>
        <v>396603.0441400304</v>
      </c>
      <c r="M28" s="209">
        <f t="shared" si="19"/>
        <v>260917.80821917808</v>
      </c>
      <c r="N28" s="209">
        <f t="shared" si="19"/>
        <v>332312.5410374261</v>
      </c>
      <c r="O28" s="209">
        <f t="shared" si="19"/>
        <v>278186.39921722113</v>
      </c>
      <c r="P28" s="209">
        <f t="shared" si="19"/>
        <v>359523.3561106755</v>
      </c>
      <c r="Q28" s="228">
        <f t="shared" si="19"/>
        <v>324978.2441146171</v>
      </c>
      <c r="R28" s="200"/>
      <c r="T28" s="207"/>
      <c r="U28" s="207"/>
      <c r="V28" s="207"/>
    </row>
    <row r="29" spans="2:22" ht="24.75" customHeight="1">
      <c r="B29" s="203" t="s">
        <v>267</v>
      </c>
      <c r="C29" s="204"/>
      <c r="D29" s="208">
        <f>+((D$55+D$56)/D81)*1000</f>
        <v>83436.94471656124</v>
      </c>
      <c r="E29" s="209">
        <f aca="true" t="shared" si="20" ref="E29:Q29">+((E$55+E$56)/E81)*1000</f>
        <v>54819.19695131038</v>
      </c>
      <c r="F29" s="209">
        <f t="shared" si="20"/>
        <v>68568.71909263653</v>
      </c>
      <c r="G29" s="209">
        <f t="shared" si="20"/>
        <v>44827.12748614282</v>
      </c>
      <c r="H29" s="209">
        <f t="shared" si="20"/>
        <v>43791.68496807109</v>
      </c>
      <c r="I29" s="209">
        <f t="shared" si="20"/>
        <v>67829.08773817697</v>
      </c>
      <c r="J29" s="209">
        <f t="shared" si="20"/>
        <v>51431.06857194212</v>
      </c>
      <c r="K29" s="209">
        <f>+((K$55+K$56)/K81)*1000</f>
        <v>33863.58671909131</v>
      </c>
      <c r="L29" s="209">
        <f>+((L$55+L$56)/L81)*1000</f>
        <v>51730.8318443518</v>
      </c>
      <c r="M29" s="209">
        <f t="shared" si="20"/>
        <v>36301.60810005956</v>
      </c>
      <c r="N29" s="209">
        <f t="shared" si="20"/>
        <v>35554.05690200211</v>
      </c>
      <c r="O29" s="209">
        <f t="shared" si="20"/>
        <v>33866.170339487784</v>
      </c>
      <c r="P29" s="209">
        <f t="shared" si="20"/>
        <v>45236.22602150841</v>
      </c>
      <c r="Q29" s="228">
        <f t="shared" si="20"/>
        <v>60024.149605211605</v>
      </c>
      <c r="R29" s="200"/>
      <c r="T29" s="207"/>
      <c r="U29" s="207"/>
      <c r="V29" s="207"/>
    </row>
    <row r="30" spans="2:22" s="234" customFormat="1" ht="24.75" customHeight="1">
      <c r="B30" s="229" t="s">
        <v>268</v>
      </c>
      <c r="C30" s="230"/>
      <c r="D30" s="231">
        <f>+((D83+D84)/D85)*100</f>
        <v>70.33279565352862</v>
      </c>
      <c r="E30" s="232">
        <f aca="true" t="shared" si="21" ref="E30:Q30">+((E83+E84)/E85)*100</f>
        <v>38.902910533606466</v>
      </c>
      <c r="F30" s="232">
        <f t="shared" si="21"/>
        <v>4.39297638266779</v>
      </c>
      <c r="G30" s="232">
        <f t="shared" si="21"/>
        <v>39.78426824990161</v>
      </c>
      <c r="H30" s="232">
        <f t="shared" si="21"/>
        <v>-26.750678899732844</v>
      </c>
      <c r="I30" s="232">
        <f t="shared" si="21"/>
        <v>17.389277645879403</v>
      </c>
      <c r="J30" s="232">
        <f t="shared" si="21"/>
        <v>83.25532766649538</v>
      </c>
      <c r="K30" s="308">
        <f>+((K83+K84)/K85)*100</f>
        <v>35.52997070375023</v>
      </c>
      <c r="L30" s="232">
        <f>+((L83+L84)/L85)*100</f>
        <v>47.408222357719985</v>
      </c>
      <c r="M30" s="232">
        <f t="shared" si="21"/>
        <v>74.09425991882713</v>
      </c>
      <c r="N30" s="232">
        <f t="shared" si="21"/>
        <v>45.43656688571634</v>
      </c>
      <c r="O30" s="232">
        <f t="shared" si="21"/>
        <v>36.22281428960021</v>
      </c>
      <c r="P30" s="232">
        <f t="shared" si="21"/>
        <v>53.22200917358786</v>
      </c>
      <c r="Q30" s="232">
        <f t="shared" si="21"/>
        <v>37.335231412809065</v>
      </c>
      <c r="R30" s="233"/>
      <c r="T30" s="235"/>
      <c r="U30" s="235"/>
      <c r="V30" s="235"/>
    </row>
    <row r="31" spans="2:22" s="234" customFormat="1" ht="24.75" customHeight="1">
      <c r="B31" s="229" t="s">
        <v>269</v>
      </c>
      <c r="C31" s="230"/>
      <c r="D31" s="231">
        <f>+((D86)/(D87+D90))*100</f>
        <v>56.30338538701673</v>
      </c>
      <c r="E31" s="232">
        <f aca="true" t="shared" si="22" ref="E31:Q31">+((E86)/(E87+E90))*100</f>
        <v>138.1371837316445</v>
      </c>
      <c r="F31" s="232">
        <f t="shared" si="22"/>
        <v>97.80073813126651</v>
      </c>
      <c r="G31" s="232">
        <f t="shared" si="22"/>
        <v>99.9379729004501</v>
      </c>
      <c r="H31" s="232">
        <f t="shared" si="22"/>
        <v>100.26592364749605</v>
      </c>
      <c r="I31" s="232">
        <f t="shared" si="22"/>
        <v>86.73278043218754</v>
      </c>
      <c r="J31" s="232">
        <f t="shared" si="22"/>
        <v>60.867406199004435</v>
      </c>
      <c r="K31" s="308">
        <f>+((K86)/(K87+K90))*100</f>
        <v>101.24457723553242</v>
      </c>
      <c r="L31" s="232">
        <f>+((L86)/(L87+L90))*100</f>
        <v>88.14442374802935</v>
      </c>
      <c r="M31" s="232">
        <f t="shared" si="22"/>
        <v>57.50739818507951</v>
      </c>
      <c r="N31" s="232">
        <f t="shared" si="22"/>
        <v>76.79372165043402</v>
      </c>
      <c r="O31" s="232">
        <f t="shared" si="22"/>
        <v>79.95956970334902</v>
      </c>
      <c r="P31" s="232">
        <f t="shared" si="22"/>
        <v>79.67713980150073</v>
      </c>
      <c r="Q31" s="232">
        <f t="shared" si="22"/>
        <v>81.53704992814238</v>
      </c>
      <c r="R31" s="233"/>
      <c r="T31" s="235"/>
      <c r="U31" s="235"/>
      <c r="V31" s="236"/>
    </row>
    <row r="32" spans="2:22" s="234" customFormat="1" ht="24.75" customHeight="1">
      <c r="B32" s="229" t="s">
        <v>270</v>
      </c>
      <c r="C32" s="230"/>
      <c r="D32" s="231">
        <f>+(D86/(D83+D84))*100</f>
        <v>75.18323232239543</v>
      </c>
      <c r="E32" s="232">
        <f aca="true" t="shared" si="23" ref="E32:Q32">+(E86/(E83+E84))*100</f>
        <v>187.449698286842</v>
      </c>
      <c r="F32" s="232">
        <f>+(F86/(F83+F84))*100</f>
        <v>1986.8224966080681</v>
      </c>
      <c r="G32" s="232">
        <f t="shared" si="23"/>
        <v>161.49761906837153</v>
      </c>
      <c r="H32" s="232">
        <f t="shared" si="23"/>
        <v>-347.473243793885</v>
      </c>
      <c r="I32" s="232">
        <f t="shared" si="23"/>
        <v>471.7677504136633</v>
      </c>
      <c r="J32" s="232">
        <f t="shared" si="23"/>
        <v>71.43653946918714</v>
      </c>
      <c r="K32" s="308">
        <f>+(K86/(K83+K84))*100</f>
        <v>247.27637411595404</v>
      </c>
      <c r="L32" s="232">
        <f>+(L86/(L83+L84))*100</f>
        <v>165.73943882936916</v>
      </c>
      <c r="M32" s="232">
        <f t="shared" si="23"/>
        <v>77.2187635290459</v>
      </c>
      <c r="N32" s="232">
        <f t="shared" si="23"/>
        <v>165.3735603242166</v>
      </c>
      <c r="O32" s="232">
        <f t="shared" si="23"/>
        <v>204.3818598660228</v>
      </c>
      <c r="P32" s="232">
        <f t="shared" si="23"/>
        <v>143.93160923176674</v>
      </c>
      <c r="Q32" s="232">
        <f t="shared" si="23"/>
        <v>195.78666971449243</v>
      </c>
      <c r="R32" s="233"/>
      <c r="T32" s="235"/>
      <c r="U32" s="235"/>
      <c r="V32" s="235"/>
    </row>
    <row r="33" spans="2:22" s="234" customFormat="1" ht="24.75" customHeight="1">
      <c r="B33" s="229" t="s">
        <v>271</v>
      </c>
      <c r="C33" s="230"/>
      <c r="D33" s="231">
        <f>(+D88/D89)*100</f>
        <v>712.1483804713935</v>
      </c>
      <c r="E33" s="232">
        <f aca="true" t="shared" si="24" ref="E33:Q33">(+E88/E89)*100</f>
        <v>52.990355403539624</v>
      </c>
      <c r="F33" s="232">
        <f t="shared" si="24"/>
        <v>112.82259933766599</v>
      </c>
      <c r="G33" s="232">
        <f t="shared" si="24"/>
        <v>100.11167216935328</v>
      </c>
      <c r="H33" s="232">
        <f t="shared" si="24"/>
        <v>96.6206734690863</v>
      </c>
      <c r="I33" s="232">
        <f t="shared" si="24"/>
        <v>314.9651541071879</v>
      </c>
      <c r="J33" s="232">
        <f t="shared" si="24"/>
        <v>1766.5133637012239</v>
      </c>
      <c r="K33" s="308">
        <f>(+K88/K89)*100</f>
        <v>91.83220967779636</v>
      </c>
      <c r="L33" s="232">
        <f>(+L88/L89)*100</f>
        <v>197.33668655266806</v>
      </c>
      <c r="M33" s="232">
        <f t="shared" si="24"/>
        <v>8405.355029585799</v>
      </c>
      <c r="N33" s="232">
        <f t="shared" si="24"/>
        <v>1014.4641339174786</v>
      </c>
      <c r="O33" s="232">
        <f t="shared" si="24"/>
        <v>350.33296067661496</v>
      </c>
      <c r="P33" s="232">
        <f t="shared" si="24"/>
        <v>574.1598670751478</v>
      </c>
      <c r="Q33" s="232">
        <f t="shared" si="24"/>
        <v>245.47273611366512</v>
      </c>
      <c r="R33" s="233"/>
      <c r="T33" s="235"/>
      <c r="U33" s="235"/>
      <c r="V33" s="235"/>
    </row>
    <row r="34" spans="2:22" s="234" customFormat="1" ht="24.75" customHeight="1">
      <c r="B34" s="229" t="s">
        <v>272</v>
      </c>
      <c r="C34" s="230"/>
      <c r="D34" s="231">
        <f>(+D92/D93)*100</f>
        <v>99.14279830099187</v>
      </c>
      <c r="E34" s="232">
        <f aca="true" t="shared" si="25" ref="E34:Q34">(+E92/E93)*100</f>
        <v>96.16001089153173</v>
      </c>
      <c r="F34" s="232">
        <f t="shared" si="25"/>
        <v>100.09128174787642</v>
      </c>
      <c r="G34" s="232">
        <f t="shared" si="25"/>
        <v>96.411398793689</v>
      </c>
      <c r="H34" s="232">
        <f t="shared" si="25"/>
        <v>86.97908640912388</v>
      </c>
      <c r="I34" s="232">
        <f t="shared" si="25"/>
        <v>91.6662432346771</v>
      </c>
      <c r="J34" s="232">
        <f t="shared" si="25"/>
        <v>95.31281182364447</v>
      </c>
      <c r="K34" s="232">
        <f>(+K92/K93)*100</f>
        <v>98.22342003929064</v>
      </c>
      <c r="L34" s="232">
        <f>(+L92/L93)*100</f>
        <v>90.74189600590073</v>
      </c>
      <c r="M34" s="232">
        <f t="shared" si="25"/>
        <v>112.85338705271784</v>
      </c>
      <c r="N34" s="232">
        <f t="shared" si="25"/>
        <v>104.35608704792256</v>
      </c>
      <c r="O34" s="232">
        <f t="shared" si="25"/>
        <v>96.27154166454851</v>
      </c>
      <c r="P34" s="232">
        <f t="shared" si="25"/>
        <v>97.82941422011966</v>
      </c>
      <c r="Q34" s="232">
        <f t="shared" si="25"/>
        <v>96.5098111255639</v>
      </c>
      <c r="R34" s="233"/>
      <c r="T34" s="235"/>
      <c r="U34" s="235"/>
      <c r="V34" s="235"/>
    </row>
    <row r="35" spans="2:22" s="234" customFormat="1" ht="24.75" customHeight="1">
      <c r="B35" s="229" t="s">
        <v>273</v>
      </c>
      <c r="C35" s="230"/>
      <c r="D35" s="231">
        <f>+((D94+D96)/(D95+D97))*100</f>
        <v>99.60628087875223</v>
      </c>
      <c r="E35" s="232">
        <f aca="true" t="shared" si="26" ref="E35:Q35">+((E94+E96)/(E95+E97))*100</f>
        <v>96.17646334528635</v>
      </c>
      <c r="F35" s="232">
        <f t="shared" si="26"/>
        <v>100.10299077792529</v>
      </c>
      <c r="G35" s="232">
        <f t="shared" si="26"/>
        <v>96.62841461064635</v>
      </c>
      <c r="H35" s="232">
        <f t="shared" si="26"/>
        <v>86.92646035913047</v>
      </c>
      <c r="I35" s="232">
        <f t="shared" si="26"/>
        <v>91.69254522127845</v>
      </c>
      <c r="J35" s="232">
        <f t="shared" si="26"/>
        <v>95.42461628496038</v>
      </c>
      <c r="K35" s="232">
        <f>+((K94+K96)/(K95+K97))*100</f>
        <v>98.22342003929064</v>
      </c>
      <c r="L35" s="232">
        <f>+((L94+L96)/(L95+L97))*100</f>
        <v>90.83017706600634</v>
      </c>
      <c r="M35" s="232">
        <f t="shared" si="26"/>
        <v>112.52838193116634</v>
      </c>
      <c r="N35" s="232">
        <f t="shared" si="26"/>
        <v>104.35608704792256</v>
      </c>
      <c r="O35" s="232">
        <f t="shared" si="26"/>
        <v>96.27154166454851</v>
      </c>
      <c r="P35" s="232">
        <f t="shared" si="26"/>
        <v>97.82941422011966</v>
      </c>
      <c r="Q35" s="232">
        <f t="shared" si="26"/>
        <v>96.66399024323941</v>
      </c>
      <c r="R35" s="233"/>
      <c r="T35" s="235"/>
      <c r="U35" s="235"/>
      <c r="V35" s="235"/>
    </row>
    <row r="36" spans="2:22" s="234" customFormat="1" ht="24.75" customHeight="1">
      <c r="B36" s="229" t="s">
        <v>274</v>
      </c>
      <c r="C36" s="230"/>
      <c r="D36" s="231">
        <f>(+D94/D95)*100</f>
        <v>99.45544101288802</v>
      </c>
      <c r="E36" s="232">
        <f aca="true" t="shared" si="27" ref="E36:Q36">(+E94/E95)*100</f>
        <v>92.24972886944435</v>
      </c>
      <c r="F36" s="232">
        <f t="shared" si="27"/>
        <v>98.34356296699484</v>
      </c>
      <c r="G36" s="232">
        <f t="shared" si="27"/>
        <v>79.99707868361861</v>
      </c>
      <c r="H36" s="232">
        <f t="shared" si="27"/>
        <v>82.6043050862495</v>
      </c>
      <c r="I36" s="232">
        <f t="shared" si="27"/>
        <v>92.51274251101405</v>
      </c>
      <c r="J36" s="232">
        <f t="shared" si="27"/>
        <v>83.11218620856154</v>
      </c>
      <c r="K36" s="232">
        <f>(+K94/K95)*100</f>
        <v>68.07509474081547</v>
      </c>
      <c r="L36" s="232">
        <f>(+L94/L95)*100</f>
        <v>91.18063055131816</v>
      </c>
      <c r="M36" s="232">
        <f t="shared" si="27"/>
        <v>74.86542054852164</v>
      </c>
      <c r="N36" s="232">
        <f t="shared" si="27"/>
        <v>95.70862635299743</v>
      </c>
      <c r="O36" s="232">
        <f t="shared" si="27"/>
        <v>82.58099760177166</v>
      </c>
      <c r="P36" s="232">
        <f t="shared" si="27"/>
        <v>92.79450124241264</v>
      </c>
      <c r="Q36" s="232">
        <f t="shared" si="27"/>
        <v>92.81562687554586</v>
      </c>
      <c r="R36" s="233"/>
      <c r="T36" s="235"/>
      <c r="U36" s="235"/>
      <c r="V36" s="235"/>
    </row>
    <row r="37" spans="2:22" s="234" customFormat="1" ht="24.75" customHeight="1">
      <c r="B37" s="229" t="s">
        <v>275</v>
      </c>
      <c r="C37" s="230"/>
      <c r="D37" s="237">
        <f>(+D98/D94)*100</f>
        <v>18.230002944514105</v>
      </c>
      <c r="E37" s="232">
        <f aca="true" t="shared" si="28" ref="E37:Q37">(+E98/E94)*100</f>
        <v>57.402347489268216</v>
      </c>
      <c r="F37" s="232">
        <f t="shared" si="28"/>
        <v>128.27018994175887</v>
      </c>
      <c r="G37" s="232">
        <f t="shared" si="28"/>
        <v>186.02607200232129</v>
      </c>
      <c r="H37" s="232">
        <f t="shared" si="28"/>
        <v>298.28225311856625</v>
      </c>
      <c r="I37" s="232">
        <f t="shared" si="28"/>
        <v>99.70952560866245</v>
      </c>
      <c r="J37" s="238" t="s">
        <v>236</v>
      </c>
      <c r="K37" s="232">
        <f>(+K98/K94)*100</f>
        <v>22.81946260333113</v>
      </c>
      <c r="L37" s="232">
        <f>(+L98/L94)*100</f>
        <v>72.88544967692685</v>
      </c>
      <c r="M37" s="239">
        <f>(+M98/M94)*100</f>
        <v>18.54845050979844</v>
      </c>
      <c r="N37" s="232">
        <f t="shared" si="28"/>
        <v>0</v>
      </c>
      <c r="O37" s="232">
        <f t="shared" si="28"/>
        <v>133.8452918634093</v>
      </c>
      <c r="P37" s="238" t="s">
        <v>236</v>
      </c>
      <c r="Q37" s="240">
        <f t="shared" si="28"/>
        <v>71.81091459959308</v>
      </c>
      <c r="R37" s="233"/>
      <c r="T37" s="235"/>
      <c r="U37" s="235"/>
      <c r="V37" s="235"/>
    </row>
    <row r="38" spans="2:22" s="234" customFormat="1" ht="24.75" customHeight="1">
      <c r="B38" s="229" t="s">
        <v>276</v>
      </c>
      <c r="C38" s="230"/>
      <c r="D38" s="309">
        <f>IF(D99=0,0,ROUNDDOWN((D99/D94)*100,1))</f>
        <v>0</v>
      </c>
      <c r="E38" s="310">
        <f>IF(E99=0,0,ROUNDDOWN((E99/E94)*100,1))</f>
        <v>18.7</v>
      </c>
      <c r="F38" s="310">
        <f aca="true" t="shared" si="29" ref="F38:Q38">IF(F99=0,0,ROUNDDOWN((F99/F94)*100,1))</f>
        <v>0</v>
      </c>
      <c r="G38" s="311">
        <f t="shared" si="29"/>
        <v>0</v>
      </c>
      <c r="H38" s="310">
        <f>IF(H99=0,0,ROUNDDOWN((H99/H94)*100,1))</f>
        <v>0.7</v>
      </c>
      <c r="I38" s="311">
        <f t="shared" si="29"/>
        <v>0</v>
      </c>
      <c r="J38" s="311">
        <f t="shared" si="29"/>
        <v>0</v>
      </c>
      <c r="K38" s="312">
        <f t="shared" si="29"/>
        <v>2.4</v>
      </c>
      <c r="L38" s="311">
        <f t="shared" si="29"/>
        <v>0</v>
      </c>
      <c r="M38" s="311">
        <f t="shared" si="29"/>
        <v>0</v>
      </c>
      <c r="N38" s="311">
        <f t="shared" si="29"/>
        <v>0</v>
      </c>
      <c r="O38" s="311">
        <f t="shared" si="29"/>
        <v>0</v>
      </c>
      <c r="P38" s="311">
        <f t="shared" si="29"/>
        <v>0</v>
      </c>
      <c r="Q38" s="313">
        <f t="shared" si="29"/>
        <v>2.3</v>
      </c>
      <c r="R38" s="233"/>
      <c r="T38" s="235"/>
      <c r="U38" s="235"/>
      <c r="V38" s="235"/>
    </row>
    <row r="39" spans="2:22" s="234" customFormat="1" ht="24.75" customHeight="1">
      <c r="B39" s="229" t="s">
        <v>277</v>
      </c>
      <c r="C39" s="230"/>
      <c r="D39" s="231">
        <f>((D105+D106)/SUM(D101:D104))*100</f>
        <v>1.1426364972291336</v>
      </c>
      <c r="E39" s="232">
        <f aca="true" t="shared" si="30" ref="E39:P39">((E105+E106)/SUM(E101:E104))*100</f>
        <v>1.173644737541981</v>
      </c>
      <c r="F39" s="232">
        <f t="shared" si="30"/>
        <v>3.5433829442104945</v>
      </c>
      <c r="G39" s="232">
        <f t="shared" si="30"/>
        <v>0.4040122936913053</v>
      </c>
      <c r="H39" s="232">
        <f>((H105+H106)/SUM(H101:H104))*100</f>
        <v>2.6519519475240076</v>
      </c>
      <c r="I39" s="232">
        <f t="shared" si="30"/>
        <v>3.0555448332528954</v>
      </c>
      <c r="J39" s="232">
        <f t="shared" si="30"/>
        <v>6.410216320262392</v>
      </c>
      <c r="K39" s="308">
        <f>((K105+K106)/SUM(K101:K104))*100</f>
        <v>2.4054033197490896</v>
      </c>
      <c r="L39" s="232">
        <f>((L105+L106)/SUM(L101:L104))*100</f>
        <v>2.526269875327491</v>
      </c>
      <c r="M39" s="232">
        <f t="shared" si="30"/>
        <v>2.2112453895326083</v>
      </c>
      <c r="N39" s="232">
        <f t="shared" si="30"/>
        <v>2.1127829548064874</v>
      </c>
      <c r="O39" s="232">
        <f t="shared" si="30"/>
        <v>1.6053462536594096</v>
      </c>
      <c r="P39" s="232">
        <f t="shared" si="30"/>
        <v>2.2355424590173936</v>
      </c>
      <c r="Q39" s="232">
        <f>((Q105+Q106)/SUM(Q101:Q104))*100</f>
        <v>2.6291472322450056</v>
      </c>
      <c r="R39" s="233"/>
      <c r="T39" s="235"/>
      <c r="U39" s="235"/>
      <c r="V39" s="235"/>
    </row>
    <row r="40" spans="2:22" s="234" customFormat="1" ht="24.75" customHeight="1">
      <c r="B40" s="428" t="s">
        <v>278</v>
      </c>
      <c r="C40" s="427"/>
      <c r="D40" s="429">
        <f>D104+D101</f>
        <v>3053377</v>
      </c>
      <c r="E40" s="430">
        <f aca="true" t="shared" si="31" ref="E40:P40">E104+E101</f>
        <v>643238</v>
      </c>
      <c r="F40" s="430">
        <f t="shared" si="31"/>
        <v>7929447</v>
      </c>
      <c r="G40" s="430">
        <f t="shared" si="31"/>
        <v>424031</v>
      </c>
      <c r="H40" s="430">
        <f t="shared" si="31"/>
        <v>9284721</v>
      </c>
      <c r="I40" s="430">
        <f t="shared" si="31"/>
        <v>4067327</v>
      </c>
      <c r="J40" s="430">
        <f t="shared" si="31"/>
        <v>575628</v>
      </c>
      <c r="K40" s="431">
        <f t="shared" si="31"/>
        <v>1160645</v>
      </c>
      <c r="L40" s="430">
        <f t="shared" si="31"/>
        <v>1416832</v>
      </c>
      <c r="M40" s="430">
        <f t="shared" si="31"/>
        <v>168638</v>
      </c>
      <c r="N40" s="430">
        <f t="shared" si="31"/>
        <v>744421</v>
      </c>
      <c r="O40" s="430">
        <f t="shared" si="31"/>
        <v>265392</v>
      </c>
      <c r="P40" s="430">
        <f t="shared" si="31"/>
        <v>3278220</v>
      </c>
      <c r="Q40" s="430">
        <f>SUM(D40:P40)</f>
        <v>33011917</v>
      </c>
      <c r="R40" s="233"/>
      <c r="T40" s="235"/>
      <c r="U40" s="235"/>
      <c r="V40" s="235"/>
    </row>
    <row r="41" spans="2:22" s="234" customFormat="1" ht="24.75" customHeight="1">
      <c r="B41" s="432" t="s">
        <v>487</v>
      </c>
      <c r="C41" s="433"/>
      <c r="D41" s="457">
        <v>0</v>
      </c>
      <c r="E41" s="458">
        <v>742219</v>
      </c>
      <c r="F41" s="458">
        <v>0</v>
      </c>
      <c r="G41" s="459"/>
      <c r="H41" s="458">
        <v>20590</v>
      </c>
      <c r="I41" s="458">
        <v>0</v>
      </c>
      <c r="J41" s="458">
        <v>0</v>
      </c>
      <c r="K41" s="458">
        <v>24460</v>
      </c>
      <c r="L41" s="458">
        <v>0</v>
      </c>
      <c r="M41" s="458">
        <v>0</v>
      </c>
      <c r="N41" s="458">
        <v>0</v>
      </c>
      <c r="O41" s="458">
        <v>0</v>
      </c>
      <c r="P41" s="458">
        <v>0</v>
      </c>
      <c r="Q41" s="434">
        <f>SUM(D41:P41)</f>
        <v>787269</v>
      </c>
      <c r="R41" s="233"/>
      <c r="T41" s="235"/>
      <c r="U41" s="235"/>
      <c r="V41" s="235"/>
    </row>
    <row r="42" spans="2:22" s="234" customFormat="1" ht="24.75" customHeight="1" thickBot="1">
      <c r="B42" s="435" t="s">
        <v>488</v>
      </c>
      <c r="C42" s="436"/>
      <c r="D42" s="437">
        <f>IF(D41=0,0,ROUNDDOWN((D41/D94)*100,1))</f>
        <v>0</v>
      </c>
      <c r="E42" s="438">
        <f aca="true" t="shared" si="32" ref="E42:P42">IF(E41=0,0,ROUNDDOWN((E41/E94)*100,1))</f>
        <v>13.5</v>
      </c>
      <c r="F42" s="438">
        <f t="shared" si="32"/>
        <v>0</v>
      </c>
      <c r="G42" s="460"/>
      <c r="H42" s="438">
        <f t="shared" si="32"/>
        <v>0.7</v>
      </c>
      <c r="I42" s="438">
        <f t="shared" si="32"/>
        <v>0</v>
      </c>
      <c r="J42" s="438">
        <f t="shared" si="32"/>
        <v>0</v>
      </c>
      <c r="K42" s="438">
        <f t="shared" si="32"/>
        <v>2.4</v>
      </c>
      <c r="L42" s="438">
        <f t="shared" si="32"/>
        <v>0</v>
      </c>
      <c r="M42" s="438">
        <f t="shared" si="32"/>
        <v>0</v>
      </c>
      <c r="N42" s="438">
        <f t="shared" si="32"/>
        <v>0</v>
      </c>
      <c r="O42" s="438">
        <f t="shared" si="32"/>
        <v>0</v>
      </c>
      <c r="P42" s="438">
        <f t="shared" si="32"/>
        <v>0</v>
      </c>
      <c r="Q42" s="439"/>
      <c r="R42" s="233"/>
      <c r="T42" s="235"/>
      <c r="U42" s="235"/>
      <c r="V42" s="235"/>
    </row>
    <row r="43" s="234" customFormat="1" ht="17.25"/>
    <row r="44" s="234" customFormat="1" ht="17.25"/>
    <row r="45" spans="1:19" s="234" customFormat="1" ht="17.25">
      <c r="A45" s="241" t="s">
        <v>435</v>
      </c>
      <c r="B45" s="241"/>
      <c r="C45" s="305" t="s">
        <v>39</v>
      </c>
      <c r="D45" s="286">
        <v>164875</v>
      </c>
      <c r="E45" s="286">
        <v>83888</v>
      </c>
      <c r="F45" s="286">
        <v>92434</v>
      </c>
      <c r="G45" s="286">
        <v>22002</v>
      </c>
      <c r="H45" s="286">
        <v>47565</v>
      </c>
      <c r="I45" s="286">
        <v>73789</v>
      </c>
      <c r="J45" s="286">
        <v>17752</v>
      </c>
      <c r="K45" s="286">
        <v>26651</v>
      </c>
      <c r="L45" s="286">
        <v>43094</v>
      </c>
      <c r="M45" s="286">
        <v>8515</v>
      </c>
      <c r="N45" s="286">
        <v>18054</v>
      </c>
      <c r="O45" s="286">
        <v>17989</v>
      </c>
      <c r="P45" s="286">
        <v>72670</v>
      </c>
      <c r="Q45" s="288">
        <f>SUM(D45:P45)</f>
        <v>689278</v>
      </c>
      <c r="S45" s="234" t="str">
        <f>IF(Q45='01施設概要'!Q25,"O.K!","Check!")</f>
        <v>O.K!</v>
      </c>
    </row>
    <row r="46" spans="1:19" s="234" customFormat="1" ht="17.25">
      <c r="A46" s="241" t="s">
        <v>436</v>
      </c>
      <c r="B46" s="241"/>
      <c r="C46" s="242" t="s">
        <v>391</v>
      </c>
      <c r="D46" s="286">
        <v>164875</v>
      </c>
      <c r="E46" s="286">
        <v>80116</v>
      </c>
      <c r="F46" s="286">
        <v>92434</v>
      </c>
      <c r="G46" s="286">
        <v>22002</v>
      </c>
      <c r="H46" s="287">
        <v>47565</v>
      </c>
      <c r="I46" s="287">
        <v>60181</v>
      </c>
      <c r="J46" s="287">
        <v>17752</v>
      </c>
      <c r="K46" s="287">
        <v>14007</v>
      </c>
      <c r="L46" s="287">
        <v>43094</v>
      </c>
      <c r="M46" s="287">
        <v>8515</v>
      </c>
      <c r="N46" s="287">
        <v>7489</v>
      </c>
      <c r="O46" s="287">
        <v>6630</v>
      </c>
      <c r="P46" s="287">
        <v>59809</v>
      </c>
      <c r="Q46" s="288">
        <f>SUM(D46:P46)</f>
        <v>624469</v>
      </c>
      <c r="S46" s="234" t="str">
        <f>IF(Q46='01施設概要'!Q26,"O.K!","Check!")</f>
        <v>O.K!</v>
      </c>
    </row>
    <row r="47" spans="1:17" s="234" customFormat="1" ht="17.25">
      <c r="A47" s="241" t="s">
        <v>438</v>
      </c>
      <c r="B47" s="241"/>
      <c r="C47" s="243" t="s">
        <v>234</v>
      </c>
      <c r="D47" s="289">
        <v>207320</v>
      </c>
      <c r="E47" s="289">
        <v>117530</v>
      </c>
      <c r="F47" s="289">
        <v>119720</v>
      </c>
      <c r="G47" s="289">
        <v>42822</v>
      </c>
      <c r="H47" s="288">
        <v>73000</v>
      </c>
      <c r="I47" s="288">
        <v>93075</v>
      </c>
      <c r="J47" s="288">
        <v>36500</v>
      </c>
      <c r="K47" s="288">
        <v>32850</v>
      </c>
      <c r="L47" s="288">
        <v>102565</v>
      </c>
      <c r="M47" s="288">
        <v>10950</v>
      </c>
      <c r="N47" s="288">
        <v>18250</v>
      </c>
      <c r="O47" s="288">
        <v>27740</v>
      </c>
      <c r="P47" s="288">
        <v>105120</v>
      </c>
      <c r="Q47" s="288">
        <f>SUM(D47:P47)</f>
        <v>987442</v>
      </c>
    </row>
    <row r="48" spans="1:17" s="234" customFormat="1" ht="17.25">
      <c r="A48" s="241" t="s">
        <v>441</v>
      </c>
      <c r="B48" s="241"/>
      <c r="C48" s="242" t="s">
        <v>392</v>
      </c>
      <c r="D48" s="289">
        <v>206590</v>
      </c>
      <c r="E48" s="289">
        <v>104025</v>
      </c>
      <c r="F48" s="289">
        <v>118990</v>
      </c>
      <c r="G48" s="289">
        <v>42822</v>
      </c>
      <c r="H48" s="288">
        <v>73000</v>
      </c>
      <c r="I48" s="288">
        <v>72635</v>
      </c>
      <c r="J48" s="288">
        <v>36500</v>
      </c>
      <c r="K48" s="288">
        <v>18250</v>
      </c>
      <c r="L48" s="288">
        <v>88695</v>
      </c>
      <c r="M48" s="288">
        <v>10950</v>
      </c>
      <c r="N48" s="288">
        <v>7300</v>
      </c>
      <c r="O48" s="288">
        <v>12045</v>
      </c>
      <c r="P48" s="288">
        <v>85410</v>
      </c>
      <c r="Q48" s="288">
        <f>SUM(D48:P48)</f>
        <v>877212</v>
      </c>
    </row>
    <row r="49" spans="1:19" s="234" customFormat="1" ht="17.25">
      <c r="A49" s="241" t="s">
        <v>437</v>
      </c>
      <c r="B49" s="241"/>
      <c r="C49" s="305" t="s">
        <v>40</v>
      </c>
      <c r="D49" s="286">
        <v>392212</v>
      </c>
      <c r="E49" s="286">
        <v>158628</v>
      </c>
      <c r="F49" s="286">
        <v>139262</v>
      </c>
      <c r="G49" s="286">
        <v>62720</v>
      </c>
      <c r="H49" s="287">
        <v>72025</v>
      </c>
      <c r="I49" s="287">
        <v>116339</v>
      </c>
      <c r="J49" s="287">
        <v>42242</v>
      </c>
      <c r="K49" s="287">
        <v>64947</v>
      </c>
      <c r="L49" s="287">
        <v>88789</v>
      </c>
      <c r="M49" s="287">
        <v>23228</v>
      </c>
      <c r="N49" s="287">
        <v>30047</v>
      </c>
      <c r="O49" s="287">
        <v>45002</v>
      </c>
      <c r="P49" s="287">
        <v>106237</v>
      </c>
      <c r="Q49" s="288">
        <f>SUM(D49:P49)</f>
        <v>1341678</v>
      </c>
      <c r="S49" s="234" t="str">
        <f>IF(Q49='01施設概要'!Q31,"O.K!","Check!")</f>
        <v>O.K!</v>
      </c>
    </row>
    <row r="50" spans="3:17" s="234" customFormat="1" ht="17.25">
      <c r="C50" s="241"/>
      <c r="D50" s="241"/>
      <c r="E50" s="241"/>
      <c r="F50" s="241"/>
      <c r="G50" s="241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1:17" s="234" customFormat="1" ht="17.25">
      <c r="A51" s="324" t="s">
        <v>439</v>
      </c>
      <c r="B51" s="323"/>
      <c r="C51" s="244" t="s">
        <v>384</v>
      </c>
      <c r="D51" s="291">
        <v>365</v>
      </c>
      <c r="E51" s="291">
        <v>365</v>
      </c>
      <c r="F51" s="291">
        <v>183</v>
      </c>
      <c r="G51" s="291">
        <v>365</v>
      </c>
      <c r="H51" s="288">
        <v>365</v>
      </c>
      <c r="I51" s="288">
        <v>365</v>
      </c>
      <c r="J51" s="288">
        <v>365</v>
      </c>
      <c r="K51" s="288">
        <v>365</v>
      </c>
      <c r="L51" s="288">
        <v>365</v>
      </c>
      <c r="M51" s="288">
        <v>365</v>
      </c>
      <c r="N51" s="288">
        <v>365</v>
      </c>
      <c r="O51" s="288">
        <v>365</v>
      </c>
      <c r="P51" s="288">
        <v>365</v>
      </c>
      <c r="Q51" s="288">
        <f>SUM(D51:P51)</f>
        <v>4563</v>
      </c>
    </row>
    <row r="52" spans="1:17" s="234" customFormat="1" ht="17.25">
      <c r="A52" s="324" t="s">
        <v>440</v>
      </c>
      <c r="B52" s="323"/>
      <c r="C52" s="244" t="s">
        <v>385</v>
      </c>
      <c r="D52" s="291">
        <v>242</v>
      </c>
      <c r="E52" s="291">
        <v>242</v>
      </c>
      <c r="F52" s="291">
        <v>137</v>
      </c>
      <c r="G52" s="291">
        <v>242</v>
      </c>
      <c r="H52" s="288">
        <v>242</v>
      </c>
      <c r="I52" s="288">
        <v>242</v>
      </c>
      <c r="J52" s="288">
        <v>242</v>
      </c>
      <c r="K52" s="288">
        <v>242</v>
      </c>
      <c r="L52" s="288">
        <v>293</v>
      </c>
      <c r="M52" s="288">
        <v>242</v>
      </c>
      <c r="N52" s="288">
        <v>264</v>
      </c>
      <c r="O52" s="288">
        <v>242</v>
      </c>
      <c r="P52" s="288">
        <v>243</v>
      </c>
      <c r="Q52" s="288">
        <f>SUM(D52:P52)</f>
        <v>3115</v>
      </c>
    </row>
    <row r="53" spans="3:17" s="234" customFormat="1" ht="17.25">
      <c r="C53" s="245"/>
      <c r="D53" s="292"/>
      <c r="E53" s="292"/>
      <c r="F53" s="292"/>
      <c r="G53" s="292"/>
      <c r="H53" s="293"/>
      <c r="I53" s="293"/>
      <c r="J53" s="293"/>
      <c r="K53" s="293"/>
      <c r="L53" s="293"/>
      <c r="M53" s="293"/>
      <c r="N53" s="293"/>
      <c r="O53" s="293"/>
      <c r="P53" s="293"/>
      <c r="Q53" s="293"/>
    </row>
    <row r="54" spans="1:19" s="234" customFormat="1" ht="17.25">
      <c r="A54" s="241" t="s">
        <v>442</v>
      </c>
      <c r="C54" s="244" t="s">
        <v>386</v>
      </c>
      <c r="D54" s="294">
        <v>15112850</v>
      </c>
      <c r="E54" s="294">
        <v>5494892</v>
      </c>
      <c r="F54" s="294">
        <v>6040062</v>
      </c>
      <c r="G54" s="294">
        <v>1413010</v>
      </c>
      <c r="H54" s="288">
        <v>2923539</v>
      </c>
      <c r="I54" s="288">
        <v>3853696</v>
      </c>
      <c r="J54" s="288">
        <v>1229004</v>
      </c>
      <c r="K54" s="288">
        <v>1002723</v>
      </c>
      <c r="L54" s="288">
        <v>2988023</v>
      </c>
      <c r="M54" s="288">
        <v>343371</v>
      </c>
      <c r="N54" s="288">
        <v>568470</v>
      </c>
      <c r="O54" s="288">
        <v>701424</v>
      </c>
      <c r="P54" s="288">
        <v>3377808</v>
      </c>
      <c r="Q54" s="287">
        <f>SUM(D54:P54)</f>
        <v>45048872</v>
      </c>
      <c r="S54" s="234" t="str">
        <f>IF(Q54='02損益計算'!S10,"O.K!","Check!")</f>
        <v>O.K!</v>
      </c>
    </row>
    <row r="55" spans="1:19" s="234" customFormat="1" ht="17.25">
      <c r="A55" s="241" t="s">
        <v>443</v>
      </c>
      <c r="C55" s="244" t="s">
        <v>387</v>
      </c>
      <c r="D55" s="294">
        <v>9675189</v>
      </c>
      <c r="E55" s="294">
        <v>3473334</v>
      </c>
      <c r="F55" s="294">
        <v>3939594</v>
      </c>
      <c r="G55" s="294">
        <v>886224</v>
      </c>
      <c r="H55" s="288">
        <v>1848244</v>
      </c>
      <c r="I55" s="288">
        <v>2257836</v>
      </c>
      <c r="J55" s="288">
        <v>508925</v>
      </c>
      <c r="K55" s="288">
        <v>563956</v>
      </c>
      <c r="L55" s="288">
        <v>1568713</v>
      </c>
      <c r="M55" s="288">
        <v>151297</v>
      </c>
      <c r="N55" s="288">
        <v>369987</v>
      </c>
      <c r="O55" s="288">
        <v>316547</v>
      </c>
      <c r="P55" s="288">
        <v>2109175</v>
      </c>
      <c r="Q55" s="287">
        <f>SUM(D55:P55)</f>
        <v>27669021</v>
      </c>
      <c r="S55" s="234" t="str">
        <f>IF(Q55='02損益計算'!S11,"O.K!","Check!")</f>
        <v>O.K!</v>
      </c>
    </row>
    <row r="56" spans="1:19" s="234" customFormat="1" ht="17.25">
      <c r="A56" s="241" t="s">
        <v>444</v>
      </c>
      <c r="C56" s="244" t="s">
        <v>388</v>
      </c>
      <c r="D56" s="294">
        <v>5059692</v>
      </c>
      <c r="E56" s="294">
        <v>1676491</v>
      </c>
      <c r="F56" s="294">
        <v>1870165</v>
      </c>
      <c r="G56" s="294">
        <v>488624</v>
      </c>
      <c r="H56" s="288">
        <v>743961</v>
      </c>
      <c r="I56" s="288">
        <v>1398084</v>
      </c>
      <c r="J56" s="288">
        <v>635622</v>
      </c>
      <c r="K56" s="288">
        <v>366209</v>
      </c>
      <c r="L56" s="288">
        <v>1036969</v>
      </c>
      <c r="M56" s="288">
        <v>153455</v>
      </c>
      <c r="N56" s="288">
        <v>136125</v>
      </c>
      <c r="O56" s="288">
        <v>252066</v>
      </c>
      <c r="P56" s="288">
        <v>1100290</v>
      </c>
      <c r="Q56" s="287">
        <f>SUM(D56:P56)</f>
        <v>14917753</v>
      </c>
      <c r="S56" s="234" t="str">
        <f>IF(Q56='02損益計算'!S12,"O.K!","Check!")</f>
        <v>O.K!</v>
      </c>
    </row>
    <row r="57" spans="3:17" s="234" customFormat="1" ht="17.25">
      <c r="C57" s="245"/>
      <c r="D57" s="292"/>
      <c r="E57" s="292"/>
      <c r="F57" s="292"/>
      <c r="G57" s="292"/>
      <c r="H57" s="293"/>
      <c r="I57" s="293"/>
      <c r="J57" s="293"/>
      <c r="K57" s="293"/>
      <c r="L57" s="293"/>
      <c r="M57" s="293"/>
      <c r="N57" s="293"/>
      <c r="O57" s="293"/>
      <c r="P57" s="293"/>
      <c r="Q57" s="293"/>
    </row>
    <row r="58" spans="1:19" s="234" customFormat="1" ht="17.25">
      <c r="A58" s="241" t="s">
        <v>445</v>
      </c>
      <c r="C58" s="306" t="s">
        <v>393</v>
      </c>
      <c r="D58" s="294">
        <v>707233</v>
      </c>
      <c r="E58" s="294">
        <v>123830</v>
      </c>
      <c r="F58" s="294">
        <v>338530</v>
      </c>
      <c r="G58" s="294">
        <v>28344</v>
      </c>
      <c r="H58" s="288">
        <v>53411</v>
      </c>
      <c r="I58" s="288">
        <v>160255</v>
      </c>
      <c r="J58" s="288">
        <v>146868</v>
      </c>
      <c r="K58" s="288">
        <v>28115</v>
      </c>
      <c r="L58" s="288">
        <v>39656</v>
      </c>
      <c r="M58" s="288">
        <v>18959</v>
      </c>
      <c r="N58" s="288">
        <v>6082</v>
      </c>
      <c r="O58" s="288">
        <v>27553</v>
      </c>
      <c r="P58" s="288">
        <v>78880</v>
      </c>
      <c r="Q58" s="287">
        <f>SUM(D58:P58)</f>
        <v>1757716</v>
      </c>
      <c r="S58" s="234" t="str">
        <f>IF(Q58='03収益費用構成'!R24,"O.K!","Check!")</f>
        <v>O.K!</v>
      </c>
    </row>
    <row r="59" spans="1:19" s="234" customFormat="1" ht="17.25">
      <c r="A59" s="241" t="s">
        <v>446</v>
      </c>
      <c r="C59" s="306" t="s">
        <v>394</v>
      </c>
      <c r="D59" s="294">
        <v>1683692</v>
      </c>
      <c r="E59" s="294">
        <v>432212</v>
      </c>
      <c r="F59" s="294">
        <v>664225</v>
      </c>
      <c r="G59" s="294">
        <v>132703</v>
      </c>
      <c r="H59" s="288">
        <v>160706</v>
      </c>
      <c r="I59" s="288">
        <v>389541</v>
      </c>
      <c r="J59" s="288">
        <v>65853</v>
      </c>
      <c r="K59" s="288">
        <v>84103</v>
      </c>
      <c r="L59" s="288">
        <v>243042</v>
      </c>
      <c r="M59" s="288">
        <v>21310</v>
      </c>
      <c r="N59" s="288">
        <v>18431</v>
      </c>
      <c r="O59" s="288">
        <v>28678</v>
      </c>
      <c r="P59" s="288">
        <v>272931</v>
      </c>
      <c r="Q59" s="287">
        <f>SUM(D59:P59)</f>
        <v>4197427</v>
      </c>
      <c r="S59" s="234" t="str">
        <f>IF(Q59='03収益費用構成'!R25,"O.K!","Check!")</f>
        <v>O.K!</v>
      </c>
    </row>
    <row r="60" spans="3:17" s="234" customFormat="1" ht="17.25">
      <c r="C60" s="306" t="s">
        <v>395</v>
      </c>
      <c r="D60" s="294">
        <f>D58+D59</f>
        <v>2390925</v>
      </c>
      <c r="E60" s="294">
        <f aca="true" t="shared" si="33" ref="E60:O60">E58+E59</f>
        <v>556042</v>
      </c>
      <c r="F60" s="294">
        <f t="shared" si="33"/>
        <v>1002755</v>
      </c>
      <c r="G60" s="294">
        <f t="shared" si="33"/>
        <v>161047</v>
      </c>
      <c r="H60" s="288">
        <f t="shared" si="33"/>
        <v>214117</v>
      </c>
      <c r="I60" s="288">
        <f t="shared" si="33"/>
        <v>549796</v>
      </c>
      <c r="J60" s="288">
        <f t="shared" si="33"/>
        <v>212721</v>
      </c>
      <c r="K60" s="288">
        <f t="shared" si="33"/>
        <v>112218</v>
      </c>
      <c r="L60" s="288">
        <f t="shared" si="33"/>
        <v>282698</v>
      </c>
      <c r="M60" s="288">
        <f t="shared" si="33"/>
        <v>40269</v>
      </c>
      <c r="N60" s="288">
        <f t="shared" si="33"/>
        <v>24513</v>
      </c>
      <c r="O60" s="288">
        <f t="shared" si="33"/>
        <v>56231</v>
      </c>
      <c r="P60" s="288">
        <f>P58+P59</f>
        <v>351811</v>
      </c>
      <c r="Q60" s="287">
        <f>Q58+Q59</f>
        <v>5955143</v>
      </c>
    </row>
    <row r="61" spans="3:17" s="234" customFormat="1" ht="17.25">
      <c r="C61" s="245"/>
      <c r="D61" s="292"/>
      <c r="E61" s="292"/>
      <c r="F61" s="292"/>
      <c r="G61" s="292"/>
      <c r="H61" s="293"/>
      <c r="I61" s="293"/>
      <c r="J61" s="293"/>
      <c r="K61" s="293"/>
      <c r="L61" s="293"/>
      <c r="M61" s="293"/>
      <c r="N61" s="293"/>
      <c r="O61" s="293"/>
      <c r="P61" s="293"/>
      <c r="Q61" s="293"/>
    </row>
    <row r="62" spans="1:17" s="234" customFormat="1" ht="17.25">
      <c r="A62" s="241" t="s">
        <v>447</v>
      </c>
      <c r="C62" s="244" t="s">
        <v>396</v>
      </c>
      <c r="D62" s="289"/>
      <c r="E62" s="289">
        <v>47199</v>
      </c>
      <c r="F62" s="289">
        <v>63469</v>
      </c>
      <c r="G62" s="289">
        <v>13644</v>
      </c>
      <c r="H62" s="288">
        <v>0</v>
      </c>
      <c r="I62" s="288">
        <v>0</v>
      </c>
      <c r="J62" s="288">
        <v>0</v>
      </c>
      <c r="K62" s="288">
        <v>0</v>
      </c>
      <c r="L62" s="288"/>
      <c r="M62" s="288">
        <v>4761</v>
      </c>
      <c r="N62" s="288">
        <v>13065</v>
      </c>
      <c r="O62" s="288">
        <v>0</v>
      </c>
      <c r="P62" s="288">
        <v>41396</v>
      </c>
      <c r="Q62" s="287">
        <f>SUM(D62:P62)</f>
        <v>183534</v>
      </c>
    </row>
    <row r="63" spans="3:17" s="234" customFormat="1" ht="17.25">
      <c r="C63" s="241"/>
      <c r="D63" s="241"/>
      <c r="E63" s="241"/>
      <c r="F63" s="241"/>
      <c r="G63" s="241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7" s="234" customFormat="1" ht="17.25">
      <c r="A64" s="241" t="s">
        <v>451</v>
      </c>
      <c r="C64" s="242" t="s">
        <v>397</v>
      </c>
      <c r="D64" s="286">
        <f>D67+D69</f>
        <v>797478</v>
      </c>
      <c r="E64" s="286">
        <f aca="true" t="shared" si="34" ref="E64:P64">E67+E69</f>
        <v>119107</v>
      </c>
      <c r="F64" s="286">
        <f t="shared" si="34"/>
        <v>385188</v>
      </c>
      <c r="G64" s="286">
        <f t="shared" si="34"/>
        <v>28344</v>
      </c>
      <c r="H64" s="286">
        <f t="shared" si="34"/>
        <v>62169</v>
      </c>
      <c r="I64" s="286">
        <f t="shared" si="34"/>
        <v>106541</v>
      </c>
      <c r="J64" s="286">
        <f t="shared" si="34"/>
        <v>174356</v>
      </c>
      <c r="K64" s="286">
        <f t="shared" si="34"/>
        <v>28128</v>
      </c>
      <c r="L64" s="286">
        <f t="shared" si="34"/>
        <v>39656</v>
      </c>
      <c r="M64" s="286">
        <f t="shared" si="34"/>
        <v>18959</v>
      </c>
      <c r="N64" s="286">
        <f t="shared" si="34"/>
        <v>6122</v>
      </c>
      <c r="O64" s="286">
        <f t="shared" si="34"/>
        <v>22152</v>
      </c>
      <c r="P64" s="286">
        <f t="shared" si="34"/>
        <v>83468</v>
      </c>
      <c r="Q64" s="295">
        <f>SUM(D64:P64)</f>
        <v>1871668</v>
      </c>
    </row>
    <row r="65" spans="1:17" s="234" customFormat="1" ht="17.25">
      <c r="A65" s="241" t="s">
        <v>453</v>
      </c>
      <c r="C65" s="242" t="s">
        <v>398</v>
      </c>
      <c r="D65" s="286">
        <f>D68+D70</f>
        <v>1795834</v>
      </c>
      <c r="E65" s="286">
        <f aca="true" t="shared" si="35" ref="E65:P65">E68+E70</f>
        <v>315078</v>
      </c>
      <c r="F65" s="286">
        <f t="shared" si="35"/>
        <v>680897</v>
      </c>
      <c r="G65" s="286">
        <f t="shared" si="35"/>
        <v>183347</v>
      </c>
      <c r="H65" s="286">
        <f t="shared" si="35"/>
        <v>172140</v>
      </c>
      <c r="I65" s="286">
        <f t="shared" si="35"/>
        <v>323031</v>
      </c>
      <c r="J65" s="286">
        <f t="shared" si="35"/>
        <v>68023</v>
      </c>
      <c r="K65" s="286">
        <f t="shared" si="35"/>
        <v>84194</v>
      </c>
      <c r="L65" s="286">
        <f t="shared" si="35"/>
        <v>243042</v>
      </c>
      <c r="M65" s="286">
        <f t="shared" si="35"/>
        <v>21310</v>
      </c>
      <c r="N65" s="286">
        <f t="shared" si="35"/>
        <v>18447</v>
      </c>
      <c r="O65" s="286">
        <f t="shared" si="35"/>
        <v>29263</v>
      </c>
      <c r="P65" s="286">
        <f t="shared" si="35"/>
        <v>171353</v>
      </c>
      <c r="Q65" s="295">
        <f>SUM(D65:P65)</f>
        <v>4105959</v>
      </c>
    </row>
    <row r="66" spans="3:17" s="234" customFormat="1" ht="17.25">
      <c r="C66" s="241"/>
      <c r="D66" s="241"/>
      <c r="E66" s="241"/>
      <c r="F66" s="241"/>
      <c r="G66" s="241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9" s="234" customFormat="1" ht="17.25">
      <c r="A67" s="241" t="s">
        <v>448</v>
      </c>
      <c r="C67" s="246" t="s">
        <v>399</v>
      </c>
      <c r="D67" s="296">
        <v>173519</v>
      </c>
      <c r="E67" s="296">
        <v>25299</v>
      </c>
      <c r="F67" s="296">
        <v>104228</v>
      </c>
      <c r="G67" s="296">
        <v>21440</v>
      </c>
      <c r="H67" s="297">
        <v>34141</v>
      </c>
      <c r="I67" s="297">
        <v>54942</v>
      </c>
      <c r="J67" s="297">
        <v>11439</v>
      </c>
      <c r="K67" s="297">
        <v>17719</v>
      </c>
      <c r="L67" s="297">
        <v>38348</v>
      </c>
      <c r="M67" s="297">
        <v>4260</v>
      </c>
      <c r="N67" s="297">
        <v>3696</v>
      </c>
      <c r="O67" s="297">
        <v>7579</v>
      </c>
      <c r="P67" s="297">
        <v>19810</v>
      </c>
      <c r="Q67" s="297">
        <f>SUM(D67:P67)</f>
        <v>516420</v>
      </c>
      <c r="S67" s="234" t="str">
        <f>IF(Q67='03収益費用構成'!R32,"O.K!","Check!")</f>
        <v>O.K!</v>
      </c>
    </row>
    <row r="68" spans="1:19" s="234" customFormat="1" ht="17.25">
      <c r="A68" s="241" t="s">
        <v>449</v>
      </c>
      <c r="C68" s="247" t="s">
        <v>400</v>
      </c>
      <c r="D68" s="298">
        <v>1078938</v>
      </c>
      <c r="E68" s="298">
        <v>90747</v>
      </c>
      <c r="F68" s="298">
        <v>375099</v>
      </c>
      <c r="G68" s="298">
        <v>116792</v>
      </c>
      <c r="H68" s="299">
        <v>129516</v>
      </c>
      <c r="I68" s="299">
        <v>192455</v>
      </c>
      <c r="J68" s="299">
        <v>42586</v>
      </c>
      <c r="K68" s="299">
        <v>40901</v>
      </c>
      <c r="L68" s="299">
        <v>100766</v>
      </c>
      <c r="M68" s="299">
        <v>16088</v>
      </c>
      <c r="N68" s="299">
        <v>13144</v>
      </c>
      <c r="O68" s="299">
        <v>14019</v>
      </c>
      <c r="P68" s="299">
        <v>47433</v>
      </c>
      <c r="Q68" s="299">
        <f>SUM(D68:P68)</f>
        <v>2258484</v>
      </c>
      <c r="S68" s="234" t="str">
        <f>IF(Q68='03収益費用構成'!R33,"O.K!","Check!")</f>
        <v>O.K!</v>
      </c>
    </row>
    <row r="69" spans="1:19" s="234" customFormat="1" ht="17.25">
      <c r="A69" s="241" t="s">
        <v>450</v>
      </c>
      <c r="C69" s="248" t="s">
        <v>401</v>
      </c>
      <c r="D69" s="296">
        <v>623959</v>
      </c>
      <c r="E69" s="296">
        <v>93808</v>
      </c>
      <c r="F69" s="296">
        <v>280960</v>
      </c>
      <c r="G69" s="296">
        <v>6904</v>
      </c>
      <c r="H69" s="297">
        <v>28028</v>
      </c>
      <c r="I69" s="297">
        <v>51599</v>
      </c>
      <c r="J69" s="297">
        <v>162917</v>
      </c>
      <c r="K69" s="297">
        <v>10409</v>
      </c>
      <c r="L69" s="297">
        <v>1308</v>
      </c>
      <c r="M69" s="297">
        <v>14699</v>
      </c>
      <c r="N69" s="297">
        <v>2426</v>
      </c>
      <c r="O69" s="297">
        <v>14573</v>
      </c>
      <c r="P69" s="297">
        <v>63658</v>
      </c>
      <c r="Q69" s="297">
        <f>SUM(D69:P69)</f>
        <v>1355248</v>
      </c>
      <c r="S69" s="234" t="str">
        <f>IF(Q69='03収益費用構成'!R43,"O.K!","Check!")</f>
        <v>O.K!</v>
      </c>
    </row>
    <row r="70" spans="1:19" s="234" customFormat="1" ht="17.25">
      <c r="A70" s="241" t="s">
        <v>452</v>
      </c>
      <c r="C70" s="249" t="s">
        <v>402</v>
      </c>
      <c r="D70" s="298">
        <v>716896</v>
      </c>
      <c r="E70" s="298">
        <v>224331</v>
      </c>
      <c r="F70" s="298">
        <v>305798</v>
      </c>
      <c r="G70" s="298">
        <v>66555</v>
      </c>
      <c r="H70" s="299">
        <v>42624</v>
      </c>
      <c r="I70" s="299">
        <v>130576</v>
      </c>
      <c r="J70" s="299">
        <v>25437</v>
      </c>
      <c r="K70" s="299">
        <v>43293</v>
      </c>
      <c r="L70" s="299">
        <v>142276</v>
      </c>
      <c r="M70" s="299">
        <v>5222</v>
      </c>
      <c r="N70" s="299">
        <v>5303</v>
      </c>
      <c r="O70" s="299">
        <v>15244</v>
      </c>
      <c r="P70" s="299">
        <v>123920</v>
      </c>
      <c r="Q70" s="299">
        <f>SUM(D70:P70)</f>
        <v>1847475</v>
      </c>
      <c r="S70" s="234" t="str">
        <f>IF(Q70='03収益費用構成'!R44,"O.K!","Check!")</f>
        <v>O.K!</v>
      </c>
    </row>
    <row r="71" spans="1:19" s="234" customFormat="1" ht="17.25">
      <c r="A71" s="241" t="s">
        <v>454</v>
      </c>
      <c r="C71" s="246" t="s">
        <v>403</v>
      </c>
      <c r="D71" s="296">
        <v>464931</v>
      </c>
      <c r="E71" s="296">
        <v>40986</v>
      </c>
      <c r="F71" s="296">
        <v>134774</v>
      </c>
      <c r="G71" s="296">
        <v>12328</v>
      </c>
      <c r="H71" s="297">
        <v>106938</v>
      </c>
      <c r="I71" s="297">
        <v>110139</v>
      </c>
      <c r="J71" s="297">
        <v>19823</v>
      </c>
      <c r="K71" s="297">
        <v>19800</v>
      </c>
      <c r="L71" s="297">
        <v>102842</v>
      </c>
      <c r="M71" s="297">
        <v>6568</v>
      </c>
      <c r="N71" s="297">
        <v>9292</v>
      </c>
      <c r="O71" s="297">
        <v>9782</v>
      </c>
      <c r="P71" s="297">
        <v>19101</v>
      </c>
      <c r="Q71" s="297">
        <f aca="true" t="shared" si="36" ref="Q71:Q76">SUM(D71:P71)</f>
        <v>1057304</v>
      </c>
      <c r="S71" s="234" t="str">
        <f>IF(Q71='03収益費用構成'!R35,"O.K!","Check!")</f>
        <v>O.K!</v>
      </c>
    </row>
    <row r="72" spans="1:19" s="234" customFormat="1" ht="17.25">
      <c r="A72" s="241" t="s">
        <v>455</v>
      </c>
      <c r="C72" s="247" t="s">
        <v>404</v>
      </c>
      <c r="D72" s="298">
        <v>1129816</v>
      </c>
      <c r="E72" s="298">
        <v>374511</v>
      </c>
      <c r="F72" s="298">
        <v>367323</v>
      </c>
      <c r="G72" s="298">
        <v>112948</v>
      </c>
      <c r="H72" s="299">
        <v>174371</v>
      </c>
      <c r="I72" s="299">
        <v>208728</v>
      </c>
      <c r="J72" s="299">
        <v>41949</v>
      </c>
      <c r="K72" s="299">
        <v>48989</v>
      </c>
      <c r="L72" s="299">
        <v>176020</v>
      </c>
      <c r="M72" s="299">
        <v>24906</v>
      </c>
      <c r="N72" s="299">
        <v>31626</v>
      </c>
      <c r="O72" s="299">
        <v>57221</v>
      </c>
      <c r="P72" s="299">
        <v>202901</v>
      </c>
      <c r="Q72" s="299">
        <f t="shared" si="36"/>
        <v>2951309</v>
      </c>
      <c r="S72" s="234" t="str">
        <f>IF(Q72='03収益費用構成'!R46,"O.K!","Check!")</f>
        <v>O.K!</v>
      </c>
    </row>
    <row r="73" spans="1:19" s="234" customFormat="1" ht="17.25">
      <c r="A73" s="241" t="s">
        <v>456</v>
      </c>
      <c r="C73" s="248" t="s">
        <v>405</v>
      </c>
      <c r="D73" s="296">
        <v>241191</v>
      </c>
      <c r="E73" s="296">
        <v>12133</v>
      </c>
      <c r="F73" s="296">
        <v>82334</v>
      </c>
      <c r="G73" s="296">
        <v>6783</v>
      </c>
      <c r="H73" s="297">
        <v>72048</v>
      </c>
      <c r="I73" s="297">
        <v>75545</v>
      </c>
      <c r="J73" s="297">
        <v>17456</v>
      </c>
      <c r="K73" s="297">
        <v>12113</v>
      </c>
      <c r="L73" s="297">
        <v>57847</v>
      </c>
      <c r="M73" s="297">
        <v>3680</v>
      </c>
      <c r="N73" s="297">
        <v>5327</v>
      </c>
      <c r="O73" s="297">
        <v>5484</v>
      </c>
      <c r="P73" s="297">
        <v>7508</v>
      </c>
      <c r="Q73" s="297">
        <f t="shared" si="36"/>
        <v>599449</v>
      </c>
      <c r="S73" s="234" t="str">
        <f>IF(Q73='03収益費用構成'!R36,"O.K!","Check!")</f>
        <v>O.K!</v>
      </c>
    </row>
    <row r="74" spans="1:19" s="234" customFormat="1" ht="17.25">
      <c r="A74" s="241" t="s">
        <v>457</v>
      </c>
      <c r="C74" s="249" t="s">
        <v>406</v>
      </c>
      <c r="D74" s="298">
        <v>848034</v>
      </c>
      <c r="E74" s="298">
        <v>326821</v>
      </c>
      <c r="F74" s="298">
        <v>227031</v>
      </c>
      <c r="G74" s="298">
        <v>82609</v>
      </c>
      <c r="H74" s="299">
        <v>141466</v>
      </c>
      <c r="I74" s="299">
        <v>139448</v>
      </c>
      <c r="J74" s="299">
        <v>34349</v>
      </c>
      <c r="K74" s="299">
        <v>23168</v>
      </c>
      <c r="L74" s="299">
        <v>166923</v>
      </c>
      <c r="M74" s="299">
        <v>3160</v>
      </c>
      <c r="N74" s="299">
        <v>20338</v>
      </c>
      <c r="O74" s="299">
        <v>19881</v>
      </c>
      <c r="P74" s="299">
        <v>114841</v>
      </c>
      <c r="Q74" s="299">
        <f t="shared" si="36"/>
        <v>2148069</v>
      </c>
      <c r="S74" s="234" t="str">
        <f>IF(Q74='03収益費用構成'!R47,"O.K!","Check!")</f>
        <v>O.K!</v>
      </c>
    </row>
    <row r="75" spans="3:17" s="234" customFormat="1" ht="17.25">
      <c r="C75" s="241"/>
      <c r="D75" s="241"/>
      <c r="E75" s="241"/>
      <c r="F75" s="241"/>
      <c r="G75" s="241"/>
      <c r="H75" s="290"/>
      <c r="I75" s="290"/>
      <c r="J75" s="290"/>
      <c r="K75" s="290"/>
      <c r="L75" s="290"/>
      <c r="M75" s="290"/>
      <c r="N75" s="290"/>
      <c r="O75" s="290"/>
      <c r="P75" s="290"/>
      <c r="Q75" s="290"/>
    </row>
    <row r="76" spans="1:19" s="234" customFormat="1" ht="17.25">
      <c r="A76" s="241" t="s">
        <v>458</v>
      </c>
      <c r="C76" s="242" t="s">
        <v>407</v>
      </c>
      <c r="D76" s="286">
        <v>6767082</v>
      </c>
      <c r="E76" s="286">
        <v>3548833</v>
      </c>
      <c r="F76" s="286">
        <v>2892503</v>
      </c>
      <c r="G76" s="286">
        <v>1018893</v>
      </c>
      <c r="H76" s="287">
        <v>1782091</v>
      </c>
      <c r="I76" s="287">
        <v>2193069</v>
      </c>
      <c r="J76" s="287">
        <v>710591</v>
      </c>
      <c r="K76" s="287">
        <v>879604</v>
      </c>
      <c r="L76" s="287">
        <v>1784701</v>
      </c>
      <c r="M76" s="287">
        <v>314259</v>
      </c>
      <c r="N76" s="287">
        <v>347900</v>
      </c>
      <c r="O76" s="287">
        <v>449018</v>
      </c>
      <c r="P76" s="287">
        <v>1963538</v>
      </c>
      <c r="Q76" s="287">
        <f t="shared" si="36"/>
        <v>24652082</v>
      </c>
      <c r="S76" s="234" t="str">
        <f>IF(Q76='02損益計算'!S26,"O.K!","Check!")</f>
        <v>O.K!</v>
      </c>
    </row>
    <row r="77" spans="1:19" s="234" customFormat="1" ht="17.25">
      <c r="A77" s="241" t="s">
        <v>459</v>
      </c>
      <c r="C77" s="242" t="s">
        <v>408</v>
      </c>
      <c r="D77" s="286">
        <v>4648467</v>
      </c>
      <c r="E77" s="286">
        <v>1246368</v>
      </c>
      <c r="F77" s="286">
        <v>1626045</v>
      </c>
      <c r="G77" s="286">
        <v>362155</v>
      </c>
      <c r="H77" s="287">
        <v>588091</v>
      </c>
      <c r="I77" s="287">
        <v>1021203</v>
      </c>
      <c r="J77" s="287">
        <v>344328</v>
      </c>
      <c r="K77" s="287">
        <v>191847</v>
      </c>
      <c r="L77" s="287">
        <v>728078</v>
      </c>
      <c r="M77" s="287">
        <v>56811</v>
      </c>
      <c r="N77" s="287">
        <v>59242</v>
      </c>
      <c r="O77" s="287">
        <v>78688</v>
      </c>
      <c r="P77" s="287">
        <v>669443</v>
      </c>
      <c r="Q77" s="287">
        <f>SUM(D77:P77)</f>
        <v>11620766</v>
      </c>
      <c r="S77" s="234" t="str">
        <f>IF(Q77='03収益費用構成'!R28,"O.K!","Check!")</f>
        <v>O.K!</v>
      </c>
    </row>
    <row r="78" spans="1:19" s="234" customFormat="1" ht="17.25">
      <c r="A78" s="241" t="s">
        <v>460</v>
      </c>
      <c r="C78" s="242" t="s">
        <v>409</v>
      </c>
      <c r="D78" s="286">
        <v>2390925</v>
      </c>
      <c r="E78" s="286">
        <v>556042</v>
      </c>
      <c r="F78" s="286">
        <v>1002755</v>
      </c>
      <c r="G78" s="286">
        <v>161047</v>
      </c>
      <c r="H78" s="287">
        <v>214117</v>
      </c>
      <c r="I78" s="287">
        <v>549796</v>
      </c>
      <c r="J78" s="287">
        <v>212721</v>
      </c>
      <c r="K78" s="287">
        <v>112218</v>
      </c>
      <c r="L78" s="287">
        <v>282698</v>
      </c>
      <c r="M78" s="287">
        <v>40269</v>
      </c>
      <c r="N78" s="287">
        <v>24513</v>
      </c>
      <c r="O78" s="287">
        <v>56231</v>
      </c>
      <c r="P78" s="287">
        <v>351811</v>
      </c>
      <c r="Q78" s="287">
        <f>SUM(D78:P78)</f>
        <v>5955143</v>
      </c>
      <c r="S78" s="234" t="str">
        <f>IF(Q78='03収益費用構成'!R26,"O.K!","Check!")</f>
        <v>O.K!</v>
      </c>
    </row>
    <row r="79" spans="3:17" s="234" customFormat="1" ht="17.25">
      <c r="C79" s="241"/>
      <c r="D79" s="241"/>
      <c r="E79" s="241"/>
      <c r="F79" s="241"/>
      <c r="G79" s="241"/>
      <c r="H79" s="290"/>
      <c r="I79" s="290"/>
      <c r="J79" s="290"/>
      <c r="K79" s="290"/>
      <c r="L79" s="290"/>
      <c r="M79" s="290"/>
      <c r="N79" s="290"/>
      <c r="O79" s="290"/>
      <c r="P79" s="290"/>
      <c r="Q79" s="290"/>
    </row>
    <row r="80" spans="1:17" s="234" customFormat="1" ht="17.25">
      <c r="A80" s="241" t="s">
        <v>467</v>
      </c>
      <c r="B80" s="241"/>
      <c r="C80" s="242" t="s">
        <v>410</v>
      </c>
      <c r="D80" s="286">
        <v>50352</v>
      </c>
      <c r="E80" s="286">
        <v>19643</v>
      </c>
      <c r="F80" s="286">
        <v>14687</v>
      </c>
      <c r="G80" s="286">
        <v>5746</v>
      </c>
      <c r="H80" s="287">
        <v>8468</v>
      </c>
      <c r="I80" s="287">
        <v>6268</v>
      </c>
      <c r="J80" s="287">
        <v>2557</v>
      </c>
      <c r="K80" s="287">
        <v>3092</v>
      </c>
      <c r="L80" s="287">
        <v>6570</v>
      </c>
      <c r="M80" s="287">
        <v>1168</v>
      </c>
      <c r="N80" s="287">
        <v>1523</v>
      </c>
      <c r="O80" s="287">
        <v>2044</v>
      </c>
      <c r="P80" s="287">
        <v>8927</v>
      </c>
      <c r="Q80" s="287">
        <f>SUM(D80:P80)</f>
        <v>131045</v>
      </c>
    </row>
    <row r="81" spans="1:17" s="234" customFormat="1" ht="17.25">
      <c r="A81" s="241" t="s">
        <v>468</v>
      </c>
      <c r="B81" s="241"/>
      <c r="C81" s="242" t="s">
        <v>411</v>
      </c>
      <c r="D81" s="286">
        <v>176599</v>
      </c>
      <c r="E81" s="286">
        <v>93942</v>
      </c>
      <c r="F81" s="286">
        <v>84729</v>
      </c>
      <c r="G81" s="286">
        <v>30670</v>
      </c>
      <c r="H81" s="287">
        <v>59194</v>
      </c>
      <c r="I81" s="287">
        <v>53899</v>
      </c>
      <c r="J81" s="287">
        <v>22254</v>
      </c>
      <c r="K81" s="287">
        <v>27468</v>
      </c>
      <c r="L81" s="287">
        <v>50370</v>
      </c>
      <c r="M81" s="287">
        <v>8395</v>
      </c>
      <c r="N81" s="287">
        <v>14235</v>
      </c>
      <c r="O81" s="287">
        <v>16790</v>
      </c>
      <c r="P81" s="287">
        <v>70949</v>
      </c>
      <c r="Q81" s="287">
        <f>SUM(D81:P81)</f>
        <v>709494</v>
      </c>
    </row>
    <row r="82" spans="3:17" s="234" customFormat="1" ht="17.25">
      <c r="C82" s="241"/>
      <c r="D82" s="241"/>
      <c r="E82" s="241"/>
      <c r="F82" s="241"/>
      <c r="G82" s="241"/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1:19" s="234" customFormat="1" ht="17.25">
      <c r="A83" s="241" t="s">
        <v>461</v>
      </c>
      <c r="C83" s="250" t="s">
        <v>412</v>
      </c>
      <c r="D83" s="300">
        <v>13639349</v>
      </c>
      <c r="E83" s="300">
        <v>510318</v>
      </c>
      <c r="F83" s="300">
        <v>4398880</v>
      </c>
      <c r="G83" s="300">
        <v>3160674</v>
      </c>
      <c r="H83" s="300">
        <v>4822300</v>
      </c>
      <c r="I83" s="300">
        <v>200856</v>
      </c>
      <c r="J83" s="300">
        <v>3289107</v>
      </c>
      <c r="K83" s="300">
        <v>295396</v>
      </c>
      <c r="L83" s="300">
        <v>168333</v>
      </c>
      <c r="M83" s="300">
        <v>6224</v>
      </c>
      <c r="N83" s="300">
        <v>15863</v>
      </c>
      <c r="O83" s="300">
        <v>9110</v>
      </c>
      <c r="P83" s="300">
        <v>906775</v>
      </c>
      <c r="Q83" s="300">
        <f aca="true" t="shared" si="37" ref="Q83:Q90">SUM(D83:P83)</f>
        <v>31423185</v>
      </c>
      <c r="S83" s="234" t="str">
        <f>IF(Q83='04貸借対照'!R37,"O.K!","Check!")</f>
        <v>O.K!</v>
      </c>
    </row>
    <row r="84" spans="1:19" s="234" customFormat="1" ht="17.25">
      <c r="A84" s="241" t="s">
        <v>462</v>
      </c>
      <c r="C84" s="251" t="s">
        <v>413</v>
      </c>
      <c r="D84" s="301">
        <v>-1569699</v>
      </c>
      <c r="E84" s="301">
        <v>1291559</v>
      </c>
      <c r="F84" s="301">
        <v>-3988347</v>
      </c>
      <c r="G84" s="301">
        <v>-2472288</v>
      </c>
      <c r="H84" s="301">
        <v>-7056548</v>
      </c>
      <c r="I84" s="301">
        <v>715348</v>
      </c>
      <c r="J84" s="301">
        <v>25922</v>
      </c>
      <c r="K84" s="301">
        <v>509285</v>
      </c>
      <c r="L84" s="301">
        <v>1441124</v>
      </c>
      <c r="M84" s="301">
        <v>485773</v>
      </c>
      <c r="N84" s="301">
        <v>629508</v>
      </c>
      <c r="O84" s="301">
        <v>191969</v>
      </c>
      <c r="P84" s="301">
        <v>3186526</v>
      </c>
      <c r="Q84" s="301">
        <f t="shared" si="37"/>
        <v>-6609868</v>
      </c>
      <c r="S84" s="234" t="str">
        <f>IF(Q84='04貸借対照'!R45,"O.K!","Check!")</f>
        <v>O.K!</v>
      </c>
    </row>
    <row r="85" spans="1:19" s="234" customFormat="1" ht="17.25">
      <c r="A85" s="241" t="s">
        <v>463</v>
      </c>
      <c r="C85" s="251" t="s">
        <v>414</v>
      </c>
      <c r="D85" s="301">
        <v>17160771</v>
      </c>
      <c r="E85" s="301">
        <v>4631728</v>
      </c>
      <c r="F85" s="301">
        <v>9345213</v>
      </c>
      <c r="G85" s="301">
        <v>1730297</v>
      </c>
      <c r="H85" s="301">
        <v>8352117</v>
      </c>
      <c r="I85" s="301">
        <v>5268787</v>
      </c>
      <c r="J85" s="301">
        <v>3981762</v>
      </c>
      <c r="K85" s="301">
        <v>2264795</v>
      </c>
      <c r="L85" s="301">
        <v>3394890</v>
      </c>
      <c r="M85" s="301">
        <v>664015</v>
      </c>
      <c r="N85" s="301">
        <v>1420378</v>
      </c>
      <c r="O85" s="301">
        <v>555117</v>
      </c>
      <c r="P85" s="301">
        <v>7690993</v>
      </c>
      <c r="Q85" s="301">
        <f t="shared" si="37"/>
        <v>66460863</v>
      </c>
      <c r="S85" s="234" t="str">
        <f>IF(Q85='04貸借対照'!R60,"O.K!","Check!")</f>
        <v>O.K!</v>
      </c>
    </row>
    <row r="86" spans="1:19" s="234" customFormat="1" ht="17.25">
      <c r="A86" s="241" t="s">
        <v>465</v>
      </c>
      <c r="C86" s="250" t="s">
        <v>415</v>
      </c>
      <c r="D86" s="300">
        <v>9074353</v>
      </c>
      <c r="E86" s="300">
        <v>3377613</v>
      </c>
      <c r="F86" s="300">
        <v>8156562</v>
      </c>
      <c r="G86" s="300">
        <v>1111727</v>
      </c>
      <c r="H86" s="300">
        <v>7763414</v>
      </c>
      <c r="I86" s="300">
        <v>4322355</v>
      </c>
      <c r="J86" s="300">
        <v>2368142</v>
      </c>
      <c r="K86" s="300">
        <v>1989786</v>
      </c>
      <c r="L86" s="300">
        <v>2667505</v>
      </c>
      <c r="M86" s="300">
        <v>379914</v>
      </c>
      <c r="N86" s="300">
        <v>1067273</v>
      </c>
      <c r="O86" s="300">
        <v>410969</v>
      </c>
      <c r="P86" s="300">
        <v>5891554</v>
      </c>
      <c r="Q86" s="300">
        <f t="shared" si="37"/>
        <v>48581167</v>
      </c>
      <c r="S86" s="234" t="str">
        <f>IF(Q86='04貸借対照'!R9,"O.K!","Check!")</f>
        <v>O.K!</v>
      </c>
    </row>
    <row r="87" spans="1:19" s="234" customFormat="1" ht="17.25">
      <c r="A87" s="241" t="s">
        <v>466</v>
      </c>
      <c r="C87" s="250" t="s">
        <v>416</v>
      </c>
      <c r="D87" s="300">
        <v>993860</v>
      </c>
      <c r="E87" s="300">
        <v>0</v>
      </c>
      <c r="F87" s="300">
        <v>0</v>
      </c>
      <c r="G87" s="300">
        <v>0</v>
      </c>
      <c r="H87" s="300">
        <v>1177751</v>
      </c>
      <c r="I87" s="300">
        <v>0</v>
      </c>
      <c r="J87" s="300">
        <v>0</v>
      </c>
      <c r="K87" s="300">
        <v>0</v>
      </c>
      <c r="L87" s="300">
        <v>0</v>
      </c>
      <c r="M87" s="300">
        <v>0</v>
      </c>
      <c r="N87" s="300">
        <v>0</v>
      </c>
      <c r="O87" s="300">
        <v>47500</v>
      </c>
      <c r="P87" s="300">
        <v>22763</v>
      </c>
      <c r="Q87" s="300">
        <f t="shared" si="37"/>
        <v>2241874</v>
      </c>
      <c r="S87" s="234" t="str">
        <f>IF(Q87='04貸借対照'!R25,"O.K!","Check!")</f>
        <v>O.K!</v>
      </c>
    </row>
    <row r="88" spans="1:19" s="234" customFormat="1" ht="17.25">
      <c r="A88" s="241" t="s">
        <v>469</v>
      </c>
      <c r="C88" s="252" t="s">
        <v>417</v>
      </c>
      <c r="D88" s="300">
        <v>7434003</v>
      </c>
      <c r="E88" s="300">
        <v>1158694</v>
      </c>
      <c r="F88" s="300">
        <v>1134130</v>
      </c>
      <c r="G88" s="300">
        <v>618570</v>
      </c>
      <c r="H88" s="300">
        <v>588703</v>
      </c>
      <c r="I88" s="300">
        <v>898457</v>
      </c>
      <c r="J88" s="300">
        <v>1609382</v>
      </c>
      <c r="K88" s="300">
        <v>275009</v>
      </c>
      <c r="L88" s="300">
        <v>727385</v>
      </c>
      <c r="M88" s="300">
        <v>284101</v>
      </c>
      <c r="N88" s="300">
        <v>310284</v>
      </c>
      <c r="O88" s="300">
        <v>144148</v>
      </c>
      <c r="P88" s="300">
        <v>1703584</v>
      </c>
      <c r="Q88" s="300">
        <f t="shared" si="37"/>
        <v>16886450</v>
      </c>
      <c r="S88" s="234" t="str">
        <f>IF(Q88='04貸借対照'!R17,"O.K!","Check!")</f>
        <v>O.K!</v>
      </c>
    </row>
    <row r="89" spans="1:19" s="234" customFormat="1" ht="17.25">
      <c r="A89" s="241" t="s">
        <v>470</v>
      </c>
      <c r="C89" s="252" t="s">
        <v>418</v>
      </c>
      <c r="D89" s="300">
        <v>1043884</v>
      </c>
      <c r="E89" s="300">
        <v>2186613</v>
      </c>
      <c r="F89" s="300">
        <v>1005233</v>
      </c>
      <c r="G89" s="300">
        <v>617880</v>
      </c>
      <c r="H89" s="300">
        <v>609293</v>
      </c>
      <c r="I89" s="300">
        <v>285256</v>
      </c>
      <c r="J89" s="300">
        <v>91105</v>
      </c>
      <c r="K89" s="300">
        <v>299469</v>
      </c>
      <c r="L89" s="300">
        <v>368601</v>
      </c>
      <c r="M89" s="300">
        <v>3380</v>
      </c>
      <c r="N89" s="300">
        <v>30586</v>
      </c>
      <c r="O89" s="300">
        <v>41146</v>
      </c>
      <c r="P89" s="300">
        <v>296709</v>
      </c>
      <c r="Q89" s="300">
        <f t="shared" si="37"/>
        <v>6879155</v>
      </c>
      <c r="S89" s="234" t="str">
        <f>IF(Q89='04貸借対照'!R31,"O.K!","Check!")</f>
        <v>O.K!</v>
      </c>
    </row>
    <row r="90" spans="1:19" s="234" customFormat="1" ht="17.25">
      <c r="A90" s="241" t="s">
        <v>472</v>
      </c>
      <c r="C90" s="250" t="s">
        <v>419</v>
      </c>
      <c r="D90" s="300">
        <v>15123027</v>
      </c>
      <c r="E90" s="300">
        <v>2445115</v>
      </c>
      <c r="F90" s="300">
        <v>8339980</v>
      </c>
      <c r="G90" s="300">
        <v>1112417</v>
      </c>
      <c r="H90" s="300">
        <v>6565073</v>
      </c>
      <c r="I90" s="300">
        <v>4983531</v>
      </c>
      <c r="J90" s="300">
        <v>3890657</v>
      </c>
      <c r="K90" s="300">
        <v>1965326</v>
      </c>
      <c r="L90" s="300">
        <v>3026289</v>
      </c>
      <c r="M90" s="300">
        <v>660635</v>
      </c>
      <c r="N90" s="300">
        <v>1389792</v>
      </c>
      <c r="O90" s="300">
        <v>466471</v>
      </c>
      <c r="P90" s="300">
        <v>7371521</v>
      </c>
      <c r="Q90" s="300">
        <f t="shared" si="37"/>
        <v>57339834</v>
      </c>
      <c r="S90" s="234" t="str">
        <f>IF(Q90='04貸借対照'!R59,"O.K!","Check!")</f>
        <v>O.K!</v>
      </c>
    </row>
    <row r="91" spans="3:17" s="234" customFormat="1" ht="17.25">
      <c r="C91" s="241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</row>
    <row r="92" spans="1:19" s="234" customFormat="1" ht="17.25">
      <c r="A92" s="241" t="s">
        <v>473</v>
      </c>
      <c r="C92" s="252" t="s">
        <v>420</v>
      </c>
      <c r="D92" s="300">
        <v>15635894</v>
      </c>
      <c r="E92" s="300">
        <v>5975385</v>
      </c>
      <c r="F92" s="300">
        <v>6631688</v>
      </c>
      <c r="G92" s="300">
        <v>1745028</v>
      </c>
      <c r="H92" s="300">
        <v>3719745</v>
      </c>
      <c r="I92" s="300">
        <v>4022994</v>
      </c>
      <c r="J92" s="300">
        <v>1480553</v>
      </c>
      <c r="K92" s="300">
        <v>1478952</v>
      </c>
      <c r="L92" s="300">
        <v>3079309</v>
      </c>
      <c r="M92" s="300">
        <v>528840</v>
      </c>
      <c r="N92" s="300">
        <v>650296</v>
      </c>
      <c r="O92" s="300">
        <v>833261</v>
      </c>
      <c r="P92" s="300">
        <v>4169383</v>
      </c>
      <c r="Q92" s="300">
        <f aca="true" t="shared" si="38" ref="Q92:Q104">SUM(D92:P92)</f>
        <v>49951328</v>
      </c>
      <c r="S92" s="234" t="str">
        <f>IF(Q92='02損益計算'!S9,"O.K!","Check!")</f>
        <v>O.K!</v>
      </c>
    </row>
    <row r="93" spans="1:19" s="234" customFormat="1" ht="17.25">
      <c r="A93" s="241" t="s">
        <v>474</v>
      </c>
      <c r="C93" s="252" t="s">
        <v>421</v>
      </c>
      <c r="D93" s="300">
        <v>15771084</v>
      </c>
      <c r="E93" s="300">
        <v>6214002</v>
      </c>
      <c r="F93" s="300">
        <v>6625640</v>
      </c>
      <c r="G93" s="300">
        <v>1809981</v>
      </c>
      <c r="H93" s="300">
        <v>4276597</v>
      </c>
      <c r="I93" s="300">
        <v>4388741</v>
      </c>
      <c r="J93" s="300">
        <v>1553362</v>
      </c>
      <c r="K93" s="300">
        <v>1505702</v>
      </c>
      <c r="L93" s="300">
        <v>3393481</v>
      </c>
      <c r="M93" s="300">
        <v>468608</v>
      </c>
      <c r="N93" s="300">
        <v>623151</v>
      </c>
      <c r="O93" s="300">
        <v>865532</v>
      </c>
      <c r="P93" s="300">
        <v>4261891</v>
      </c>
      <c r="Q93" s="300">
        <f t="shared" si="38"/>
        <v>51757772</v>
      </c>
      <c r="S93" s="234" t="str">
        <f>IF(Q93='02損益計算'!S24,"O.K!","Check!")</f>
        <v>O.K!</v>
      </c>
    </row>
    <row r="94" spans="1:19" s="234" customFormat="1" ht="17.25">
      <c r="A94" s="241" t="s">
        <v>442</v>
      </c>
      <c r="C94" s="252" t="s">
        <v>422</v>
      </c>
      <c r="D94" s="300">
        <v>15112850</v>
      </c>
      <c r="E94" s="300">
        <v>5494892</v>
      </c>
      <c r="F94" s="300">
        <v>6040062</v>
      </c>
      <c r="G94" s="300">
        <v>1413010</v>
      </c>
      <c r="H94" s="300">
        <v>2923539</v>
      </c>
      <c r="I94" s="300">
        <v>3853696</v>
      </c>
      <c r="J94" s="300">
        <v>1229004</v>
      </c>
      <c r="K94" s="300">
        <v>1002723</v>
      </c>
      <c r="L94" s="300">
        <v>2988023</v>
      </c>
      <c r="M94" s="300">
        <v>343371</v>
      </c>
      <c r="N94" s="300">
        <v>568470</v>
      </c>
      <c r="O94" s="300">
        <v>701424</v>
      </c>
      <c r="P94" s="300">
        <v>3377808</v>
      </c>
      <c r="Q94" s="300">
        <f t="shared" si="38"/>
        <v>45048872</v>
      </c>
      <c r="S94" s="234" t="str">
        <f>IF(Q94='02損益計算'!S10,"O.K!","Check!")</f>
        <v>O.K!</v>
      </c>
    </row>
    <row r="95" spans="1:19" s="234" customFormat="1" ht="17.25">
      <c r="A95" s="241" t="s">
        <v>475</v>
      </c>
      <c r="C95" s="253" t="s">
        <v>423</v>
      </c>
      <c r="D95" s="302">
        <v>15195599</v>
      </c>
      <c r="E95" s="302">
        <v>5956540</v>
      </c>
      <c r="F95" s="302">
        <v>6141797</v>
      </c>
      <c r="G95" s="302">
        <v>1766327</v>
      </c>
      <c r="H95" s="302">
        <v>3539209</v>
      </c>
      <c r="I95" s="302">
        <v>4165584</v>
      </c>
      <c r="J95" s="302">
        <v>1478729</v>
      </c>
      <c r="K95" s="302">
        <v>1472966</v>
      </c>
      <c r="L95" s="302">
        <v>3277037</v>
      </c>
      <c r="M95" s="302">
        <v>458651</v>
      </c>
      <c r="N95" s="302">
        <v>593959</v>
      </c>
      <c r="O95" s="302">
        <v>849377</v>
      </c>
      <c r="P95" s="302">
        <v>3640095</v>
      </c>
      <c r="Q95" s="303">
        <f t="shared" si="38"/>
        <v>48535870</v>
      </c>
      <c r="S95" s="234" t="str">
        <f>IF(Q95='02損益計算'!S25,"O.K!","Check!")</f>
        <v>O.K!</v>
      </c>
    </row>
    <row r="96" spans="1:19" s="234" customFormat="1" ht="17.25">
      <c r="A96" s="241" t="s">
        <v>476</v>
      </c>
      <c r="C96" s="252" t="s">
        <v>424</v>
      </c>
      <c r="D96" s="300">
        <v>522831</v>
      </c>
      <c r="E96" s="300">
        <v>480493</v>
      </c>
      <c r="F96" s="300">
        <v>591626</v>
      </c>
      <c r="G96" s="300">
        <v>332018</v>
      </c>
      <c r="H96" s="300">
        <v>789317</v>
      </c>
      <c r="I96" s="300">
        <v>169297</v>
      </c>
      <c r="J96" s="300">
        <v>251549</v>
      </c>
      <c r="K96" s="300">
        <v>476229</v>
      </c>
      <c r="L96" s="300">
        <v>87356</v>
      </c>
      <c r="M96" s="300">
        <v>183946</v>
      </c>
      <c r="N96" s="300">
        <v>81826</v>
      </c>
      <c r="O96" s="300">
        <v>131837</v>
      </c>
      <c r="P96" s="300">
        <v>791575</v>
      </c>
      <c r="Q96" s="300">
        <f t="shared" si="38"/>
        <v>4889900</v>
      </c>
      <c r="S96" s="234" t="str">
        <f>IF(Q96='02損益計算'!S16,"O.K!","Check!")</f>
        <v>O.K!</v>
      </c>
    </row>
    <row r="97" spans="1:19" s="234" customFormat="1" ht="17.25">
      <c r="A97" s="241" t="s">
        <v>477</v>
      </c>
      <c r="C97" s="252" t="s">
        <v>425</v>
      </c>
      <c r="D97" s="300">
        <v>501886</v>
      </c>
      <c r="E97" s="300">
        <v>256399</v>
      </c>
      <c r="F97" s="300">
        <v>483068</v>
      </c>
      <c r="G97" s="300">
        <v>39589</v>
      </c>
      <c r="H97" s="300">
        <v>732052</v>
      </c>
      <c r="I97" s="300">
        <v>221897</v>
      </c>
      <c r="J97" s="300">
        <v>72813</v>
      </c>
      <c r="K97" s="300">
        <v>32736</v>
      </c>
      <c r="L97" s="300">
        <v>108819</v>
      </c>
      <c r="M97" s="300">
        <v>9957</v>
      </c>
      <c r="N97" s="300">
        <v>29192</v>
      </c>
      <c r="O97" s="300">
        <v>16155</v>
      </c>
      <c r="P97" s="300">
        <v>621796</v>
      </c>
      <c r="Q97" s="300">
        <f t="shared" si="38"/>
        <v>3126359</v>
      </c>
      <c r="S97" s="234" t="str">
        <f>IF(Q97='02損益計算'!S30,"O.K!","Check!")</f>
        <v>O.K!</v>
      </c>
    </row>
    <row r="98" spans="1:19" s="234" customFormat="1" ht="17.25">
      <c r="A98" s="241" t="s">
        <v>478</v>
      </c>
      <c r="C98" s="252" t="s">
        <v>426</v>
      </c>
      <c r="D98" s="300">
        <v>2755073</v>
      </c>
      <c r="E98" s="300">
        <v>3154197</v>
      </c>
      <c r="F98" s="300">
        <v>7747599</v>
      </c>
      <c r="G98" s="300">
        <v>2628567</v>
      </c>
      <c r="H98" s="300">
        <v>8720398</v>
      </c>
      <c r="I98" s="300">
        <v>3842502</v>
      </c>
      <c r="J98" s="300">
        <v>0</v>
      </c>
      <c r="K98" s="300">
        <v>228816</v>
      </c>
      <c r="L98" s="300">
        <v>2177834</v>
      </c>
      <c r="M98" s="300">
        <v>63690</v>
      </c>
      <c r="N98" s="300">
        <v>0</v>
      </c>
      <c r="O98" s="300">
        <v>938823</v>
      </c>
      <c r="P98" s="300">
        <v>92508</v>
      </c>
      <c r="Q98" s="300">
        <f t="shared" si="38"/>
        <v>32350007</v>
      </c>
      <c r="S98" s="234" t="str">
        <f>IF(Q98='04貸借対照'!R58,"O.K!","Check!")</f>
        <v>O.K!</v>
      </c>
    </row>
    <row r="99" spans="1:19" s="234" customFormat="1" ht="17.25">
      <c r="A99" s="241" t="s">
        <v>464</v>
      </c>
      <c r="C99" s="252" t="s">
        <v>427</v>
      </c>
      <c r="D99" s="300">
        <v>0</v>
      </c>
      <c r="E99" s="300">
        <v>1027919</v>
      </c>
      <c r="F99" s="300">
        <v>0</v>
      </c>
      <c r="G99" s="300">
        <v>0</v>
      </c>
      <c r="H99" s="300">
        <v>20590</v>
      </c>
      <c r="I99" s="300">
        <v>0</v>
      </c>
      <c r="J99" s="300">
        <v>0</v>
      </c>
      <c r="K99" s="300">
        <v>24460</v>
      </c>
      <c r="L99" s="300">
        <v>0</v>
      </c>
      <c r="M99" s="300">
        <v>0</v>
      </c>
      <c r="N99" s="300">
        <v>0</v>
      </c>
      <c r="O99" s="300">
        <v>0</v>
      </c>
      <c r="P99" s="300">
        <v>0</v>
      </c>
      <c r="Q99" s="300">
        <f t="shared" si="38"/>
        <v>1072969</v>
      </c>
      <c r="S99" s="234" t="str">
        <f>IF(Q99='04貸借対照'!R61,"O.K!","Check!")</f>
        <v>O.K!</v>
      </c>
    </row>
    <row r="100" spans="3:17" s="234" customFormat="1" ht="17.25">
      <c r="C100" s="241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290"/>
    </row>
    <row r="101" spans="1:19" s="234" customFormat="1" ht="17.25">
      <c r="A101" s="241" t="s">
        <v>479</v>
      </c>
      <c r="C101" s="242" t="s">
        <v>428</v>
      </c>
      <c r="D101" s="287">
        <v>0</v>
      </c>
      <c r="E101" s="287">
        <v>0</v>
      </c>
      <c r="F101" s="287">
        <v>0</v>
      </c>
      <c r="G101" s="287">
        <v>0</v>
      </c>
      <c r="H101" s="287">
        <v>485400</v>
      </c>
      <c r="I101" s="287">
        <v>0</v>
      </c>
      <c r="J101" s="287">
        <v>0</v>
      </c>
      <c r="K101" s="287">
        <v>0</v>
      </c>
      <c r="L101" s="287">
        <v>0</v>
      </c>
      <c r="M101" s="287">
        <v>0</v>
      </c>
      <c r="N101" s="287">
        <v>0</v>
      </c>
      <c r="O101" s="287">
        <v>0</v>
      </c>
      <c r="P101" s="287">
        <v>0</v>
      </c>
      <c r="Q101" s="287">
        <f t="shared" si="38"/>
        <v>485400</v>
      </c>
      <c r="S101" s="234" t="str">
        <f>IF(Q101='04貸借対照'!R26+'04貸借対照'!R27,"O.K!","Check!")</f>
        <v>O.K!</v>
      </c>
    </row>
    <row r="102" spans="1:19" s="234" customFormat="1" ht="17.25">
      <c r="A102" s="241" t="s">
        <v>480</v>
      </c>
      <c r="C102" s="242" t="s">
        <v>429</v>
      </c>
      <c r="D102" s="287">
        <v>0</v>
      </c>
      <c r="E102" s="287">
        <v>0</v>
      </c>
      <c r="F102" s="287">
        <v>0</v>
      </c>
      <c r="G102" s="287">
        <v>0</v>
      </c>
      <c r="H102" s="287">
        <v>650000</v>
      </c>
      <c r="I102" s="287">
        <v>0</v>
      </c>
      <c r="J102" s="287">
        <v>0</v>
      </c>
      <c r="K102" s="287">
        <v>0</v>
      </c>
      <c r="L102" s="287">
        <v>0</v>
      </c>
      <c r="M102" s="287">
        <v>0</v>
      </c>
      <c r="N102" s="287">
        <v>0</v>
      </c>
      <c r="O102" s="287">
        <v>47500</v>
      </c>
      <c r="P102" s="287">
        <v>0</v>
      </c>
      <c r="Q102" s="287">
        <f t="shared" si="38"/>
        <v>697500</v>
      </c>
      <c r="S102" s="234" t="str">
        <f>IF(Q102='04貸借対照'!R28,"O.K!","Check!")</f>
        <v>O.K!</v>
      </c>
    </row>
    <row r="103" spans="1:19" s="234" customFormat="1" ht="17.25">
      <c r="A103" s="241" t="s">
        <v>471</v>
      </c>
      <c r="C103" s="242" t="s">
        <v>430</v>
      </c>
      <c r="D103" s="287">
        <v>0</v>
      </c>
      <c r="E103" s="287">
        <v>1500000</v>
      </c>
      <c r="F103" s="287">
        <v>660000</v>
      </c>
      <c r="G103" s="287">
        <v>395251</v>
      </c>
      <c r="H103" s="287">
        <v>306000</v>
      </c>
      <c r="I103" s="287">
        <v>0</v>
      </c>
      <c r="J103" s="287">
        <v>0</v>
      </c>
      <c r="K103" s="287">
        <v>200000</v>
      </c>
      <c r="L103" s="287">
        <v>0</v>
      </c>
      <c r="M103" s="287">
        <v>0</v>
      </c>
      <c r="N103" s="287">
        <v>0</v>
      </c>
      <c r="O103" s="287">
        <v>0</v>
      </c>
      <c r="P103" s="287">
        <v>0</v>
      </c>
      <c r="Q103" s="287">
        <f t="shared" si="38"/>
        <v>3061251</v>
      </c>
      <c r="S103" s="234" t="str">
        <f>IF(Q103='04貸借対照'!R32,"O.K!","Check!")</f>
        <v>O.K!</v>
      </c>
    </row>
    <row r="104" spans="1:19" s="234" customFormat="1" ht="17.25">
      <c r="A104" s="241" t="s">
        <v>481</v>
      </c>
      <c r="C104" s="242" t="s">
        <v>431</v>
      </c>
      <c r="D104" s="287">
        <v>3053377</v>
      </c>
      <c r="E104" s="287">
        <v>643238</v>
      </c>
      <c r="F104" s="287">
        <v>7929447</v>
      </c>
      <c r="G104" s="287">
        <v>424031</v>
      </c>
      <c r="H104" s="287">
        <v>8799321</v>
      </c>
      <c r="I104" s="287">
        <v>4067327</v>
      </c>
      <c r="J104" s="287">
        <v>575628</v>
      </c>
      <c r="K104" s="287">
        <v>1160645</v>
      </c>
      <c r="L104" s="287">
        <v>1416832</v>
      </c>
      <c r="M104" s="287">
        <v>168638</v>
      </c>
      <c r="N104" s="287">
        <v>744421</v>
      </c>
      <c r="O104" s="287">
        <v>265392</v>
      </c>
      <c r="P104" s="287">
        <v>3278220</v>
      </c>
      <c r="Q104" s="287">
        <f t="shared" si="38"/>
        <v>32526517</v>
      </c>
      <c r="S104" s="234" t="str">
        <f>IF(Q104='04貸借対照'!R42,"O.K!","Check!")</f>
        <v>O.K!</v>
      </c>
    </row>
    <row r="105" spans="1:19" s="234" customFormat="1" ht="17.25">
      <c r="A105" s="241" t="s">
        <v>482</v>
      </c>
      <c r="C105" s="242" t="s">
        <v>432</v>
      </c>
      <c r="D105" s="287">
        <v>34889</v>
      </c>
      <c r="E105" s="287">
        <v>25154</v>
      </c>
      <c r="F105" s="287">
        <v>304357</v>
      </c>
      <c r="G105" s="287">
        <v>3310</v>
      </c>
      <c r="H105" s="287">
        <v>271579</v>
      </c>
      <c r="I105" s="287">
        <v>124279</v>
      </c>
      <c r="J105" s="287">
        <v>36899</v>
      </c>
      <c r="K105" s="287">
        <v>32729</v>
      </c>
      <c r="L105" s="287">
        <v>35793</v>
      </c>
      <c r="M105" s="287">
        <v>3729</v>
      </c>
      <c r="N105" s="287">
        <v>15728</v>
      </c>
      <c r="O105" s="287">
        <v>5023</v>
      </c>
      <c r="P105" s="287">
        <v>73286</v>
      </c>
      <c r="Q105" s="287">
        <f>SUM(D105:P105)</f>
        <v>966755</v>
      </c>
      <c r="S105" s="234" t="str">
        <f>IF(Q105='02損益計算'!S31,"O.K!","Check!")</f>
        <v>O.K!</v>
      </c>
    </row>
    <row r="106" spans="1:19" s="234" customFormat="1" ht="17.25">
      <c r="A106" s="241" t="s">
        <v>483</v>
      </c>
      <c r="C106" s="242" t="s">
        <v>433</v>
      </c>
      <c r="D106" s="287">
        <v>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f>SUM(D106:P106)</f>
        <v>0</v>
      </c>
      <c r="S106" s="234" t="str">
        <f>IF(Q106='02損益計算'!S32,"O.K!","Check!")</f>
        <v>O.K!</v>
      </c>
    </row>
    <row r="107" s="234" customFormat="1" ht="17.25"/>
    <row r="108" s="234" customFormat="1" ht="17.25"/>
    <row r="109" s="234" customFormat="1" ht="17.25"/>
    <row r="110" s="234" customFormat="1" ht="17.25"/>
    <row r="111" s="234" customFormat="1" ht="17.25"/>
    <row r="112" s="234" customFormat="1" ht="17.25"/>
    <row r="113" s="234" customFormat="1" ht="17.25"/>
    <row r="114" s="234" customFormat="1" ht="17.25"/>
    <row r="115" s="234" customFormat="1" ht="17.25"/>
    <row r="116" s="234" customFormat="1" ht="17.25"/>
    <row r="117" s="234" customFormat="1" ht="17.25"/>
    <row r="118" s="234" customFormat="1" ht="17.25"/>
    <row r="119" s="234" customFormat="1" ht="17.25"/>
    <row r="120" s="234" customFormat="1" ht="17.25"/>
    <row r="121" s="234" customFormat="1" ht="17.25"/>
    <row r="122" s="234" customFormat="1" ht="17.25"/>
    <row r="123" s="234" customFormat="1" ht="17.25"/>
    <row r="124" s="234" customFormat="1" ht="17.25"/>
    <row r="125" s="234" customFormat="1" ht="17.25"/>
    <row r="126" s="234" customFormat="1" ht="17.25"/>
    <row r="127" s="234" customFormat="1" ht="17.25"/>
    <row r="128" s="234" customFormat="1" ht="17.25"/>
    <row r="129" s="234" customFormat="1" ht="17.25"/>
    <row r="130" s="234" customFormat="1" ht="17.25"/>
    <row r="131" s="234" customFormat="1" ht="17.25"/>
    <row r="132" s="234" customFormat="1" ht="17.25"/>
    <row r="133" s="234" customFormat="1" ht="17.25"/>
    <row r="134" s="234" customFormat="1" ht="17.25"/>
    <row r="135" s="234" customFormat="1" ht="17.25"/>
    <row r="136" s="234" customFormat="1" ht="17.25"/>
    <row r="137" s="234" customFormat="1" ht="17.25"/>
    <row r="138" s="234" customFormat="1" ht="17.25"/>
    <row r="139" s="234" customFormat="1" ht="17.25"/>
    <row r="140" s="234" customFormat="1" ht="17.25"/>
    <row r="141" s="234" customFormat="1" ht="17.25"/>
    <row r="142" s="234" customFormat="1" ht="17.25"/>
    <row r="143" s="234" customFormat="1" ht="17.25"/>
    <row r="144" s="234" customFormat="1" ht="17.25"/>
    <row r="145" s="234" customFormat="1" ht="17.25"/>
    <row r="146" s="234" customFormat="1" ht="17.25"/>
    <row r="147" s="234" customFormat="1" ht="17.25"/>
    <row r="148" s="234" customFormat="1" ht="17.25"/>
    <row r="149" s="234" customFormat="1" ht="17.25"/>
    <row r="150" s="234" customFormat="1" ht="17.25"/>
    <row r="151" s="234" customFormat="1" ht="17.25"/>
    <row r="152" s="234" customFormat="1" ht="17.25"/>
    <row r="153" s="234" customFormat="1" ht="17.25"/>
    <row r="154" s="234" customFormat="1" ht="17.25"/>
    <row r="155" s="234" customFormat="1" ht="17.25"/>
    <row r="156" s="234" customFormat="1" ht="17.25"/>
    <row r="157" s="234" customFormat="1" ht="17.25"/>
    <row r="158" s="234" customFormat="1" ht="17.25"/>
    <row r="159" s="234" customFormat="1" ht="17.25"/>
    <row r="160" s="234" customFormat="1" ht="17.25"/>
    <row r="161" s="234" customFormat="1" ht="17.25"/>
    <row r="162" s="234" customFormat="1" ht="17.25"/>
    <row r="163" s="234" customFormat="1" ht="17.25"/>
    <row r="164" s="234" customFormat="1" ht="17.25"/>
    <row r="165" s="234" customFormat="1" ht="17.25"/>
    <row r="166" s="234" customFormat="1" ht="17.25"/>
    <row r="167" s="234" customFormat="1" ht="17.25"/>
    <row r="168" s="234" customFormat="1" ht="17.25"/>
    <row r="169" s="234" customFormat="1" ht="17.25"/>
    <row r="170" s="234" customFormat="1" ht="17.25"/>
    <row r="171" s="234" customFormat="1" ht="17.25"/>
    <row r="172" s="234" customFormat="1" ht="17.25"/>
    <row r="173" s="234" customFormat="1" ht="17.25"/>
    <row r="174" s="234" customFormat="1" ht="17.25"/>
    <row r="175" s="234" customFormat="1" ht="17.25"/>
    <row r="176" s="234" customFormat="1" ht="17.25"/>
    <row r="177" s="234" customFormat="1" ht="17.25"/>
    <row r="178" s="234" customFormat="1" ht="17.25"/>
    <row r="179" s="234" customFormat="1" ht="17.25"/>
    <row r="180" s="234" customFormat="1" ht="17.25"/>
    <row r="181" s="234" customFormat="1" ht="17.25"/>
    <row r="182" s="234" customFormat="1" ht="17.25"/>
    <row r="183" s="234" customFormat="1" ht="17.25"/>
    <row r="184" s="234" customFormat="1" ht="17.25"/>
    <row r="185" s="234" customFormat="1" ht="17.25"/>
    <row r="186" s="234" customFormat="1" ht="17.25"/>
    <row r="187" s="234" customFormat="1" ht="17.25"/>
    <row r="188" s="234" customFormat="1" ht="17.25"/>
    <row r="189" s="234" customFormat="1" ht="17.25"/>
    <row r="190" s="234" customFormat="1" ht="17.25"/>
    <row r="191" s="234" customFormat="1" ht="17.25"/>
    <row r="192" s="234" customFormat="1" ht="17.25"/>
    <row r="193" s="234" customFormat="1" ht="17.25"/>
    <row r="194" s="234" customFormat="1" ht="17.25"/>
    <row r="195" s="234" customFormat="1" ht="17.25"/>
    <row r="196" s="234" customFormat="1" ht="17.25"/>
    <row r="197" s="234" customFormat="1" ht="17.25"/>
    <row r="198" s="234" customFormat="1" ht="17.25"/>
    <row r="199" s="234" customFormat="1" ht="17.25"/>
    <row r="200" s="234" customFormat="1" ht="17.25"/>
    <row r="201" s="234" customFormat="1" ht="17.25"/>
    <row r="202" s="234" customFormat="1" ht="17.25"/>
    <row r="203" s="234" customFormat="1" ht="17.25"/>
    <row r="204" s="234" customFormat="1" ht="17.25"/>
    <row r="205" s="234" customFormat="1" ht="17.25"/>
    <row r="206" s="234" customFormat="1" ht="17.25"/>
    <row r="207" s="234" customFormat="1" ht="17.25"/>
    <row r="208" s="234" customFormat="1" ht="17.25"/>
    <row r="209" s="234" customFormat="1" ht="17.25"/>
    <row r="210" s="234" customFormat="1" ht="17.25"/>
    <row r="211" s="234" customFormat="1" ht="17.25"/>
    <row r="212" s="234" customFormat="1" ht="17.25"/>
    <row r="213" s="234" customFormat="1" ht="17.25"/>
    <row r="214" s="234" customFormat="1" ht="17.25"/>
    <row r="215" s="234" customFormat="1" ht="17.25"/>
    <row r="216" s="234" customFormat="1" ht="17.25"/>
    <row r="217" s="234" customFormat="1" ht="17.25"/>
    <row r="218" s="234" customFormat="1" ht="17.25"/>
    <row r="219" s="234" customFormat="1" ht="17.25"/>
    <row r="220" s="234" customFormat="1" ht="17.25"/>
    <row r="221" s="234" customFormat="1" ht="17.25"/>
    <row r="222" s="234" customFormat="1" ht="17.25"/>
    <row r="223" s="234" customFormat="1" ht="17.25"/>
    <row r="224" s="234" customFormat="1" ht="17.25"/>
    <row r="225" s="234" customFormat="1" ht="17.25"/>
    <row r="226" s="234" customFormat="1" ht="17.25"/>
    <row r="227" s="234" customFormat="1" ht="17.25"/>
    <row r="228" s="234" customFormat="1" ht="17.25"/>
    <row r="229" s="234" customFormat="1" ht="17.25"/>
    <row r="230" s="234" customFormat="1" ht="17.25"/>
    <row r="231" s="234" customFormat="1" ht="17.25"/>
    <row r="232" s="234" customFormat="1" ht="17.25"/>
    <row r="233" s="234" customFormat="1" ht="17.25"/>
    <row r="234" s="234" customFormat="1" ht="17.25"/>
    <row r="235" s="234" customFormat="1" ht="17.25"/>
    <row r="236" s="234" customFormat="1" ht="17.25"/>
    <row r="237" s="234" customFormat="1" ht="17.25"/>
    <row r="238" s="234" customFormat="1" ht="17.25"/>
    <row r="239" s="234" customFormat="1" ht="17.25"/>
    <row r="240" s="234" customFormat="1" ht="17.25"/>
    <row r="241" s="234" customFormat="1" ht="17.25"/>
    <row r="242" s="234" customFormat="1" ht="17.25"/>
    <row r="243" s="234" customFormat="1" ht="17.25"/>
    <row r="244" s="234" customFormat="1" ht="17.25"/>
    <row r="245" s="234" customFormat="1" ht="17.25"/>
    <row r="246" s="234" customFormat="1" ht="17.25"/>
    <row r="247" s="234" customFormat="1" ht="17.25"/>
    <row r="248" s="234" customFormat="1" ht="17.25"/>
    <row r="249" s="234" customFormat="1" ht="17.25"/>
    <row r="250" s="234" customFormat="1" ht="17.25"/>
    <row r="251" s="234" customFormat="1" ht="17.25"/>
    <row r="252" s="234" customFormat="1" ht="17.25"/>
    <row r="253" s="234" customFormat="1" ht="17.25"/>
    <row r="254" s="234" customFormat="1" ht="17.25"/>
    <row r="255" s="234" customFormat="1" ht="17.25"/>
    <row r="256" s="234" customFormat="1" ht="17.25"/>
    <row r="257" s="234" customFormat="1" ht="17.25"/>
    <row r="258" s="234" customFormat="1" ht="17.25"/>
    <row r="259" s="234" customFormat="1" ht="17.25"/>
    <row r="260" s="234" customFormat="1" ht="17.25"/>
    <row r="261" s="234" customFormat="1" ht="17.25"/>
    <row r="262" s="234" customFormat="1" ht="17.25"/>
    <row r="263" s="234" customFormat="1" ht="17.25"/>
    <row r="264" s="234" customFormat="1" ht="17.25"/>
    <row r="265" s="234" customFormat="1" ht="17.25"/>
    <row r="266" s="234" customFormat="1" ht="17.25"/>
    <row r="267" s="234" customFormat="1" ht="17.25"/>
    <row r="268" s="234" customFormat="1" ht="17.25"/>
    <row r="269" s="234" customFormat="1" ht="17.25"/>
    <row r="270" s="234" customFormat="1" ht="17.25"/>
    <row r="271" s="234" customFormat="1" ht="17.25"/>
  </sheetData>
  <mergeCells count="1">
    <mergeCell ref="G6:G7"/>
  </mergeCells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331" customWidth="1"/>
    <col min="2" max="4" width="2.66015625" style="331" customWidth="1"/>
    <col min="5" max="5" width="18.66015625" style="331" customWidth="1"/>
    <col min="6" max="6" width="10.66015625" style="331" customWidth="1"/>
    <col min="7" max="19" width="12" style="331" customWidth="1"/>
    <col min="20" max="20" width="13.16015625" style="331" customWidth="1"/>
    <col min="21" max="21" width="1.66015625" style="331" customWidth="1"/>
    <col min="22" max="22" width="2.66015625" style="331" customWidth="1"/>
    <col min="23" max="16384" width="8.66015625" style="331" customWidth="1"/>
  </cols>
  <sheetData>
    <row r="1" ht="21" customHeight="1">
      <c r="B1" s="330" t="s">
        <v>0</v>
      </c>
    </row>
    <row r="2" ht="21" customHeight="1"/>
    <row r="3" spans="2:20" ht="21" customHeight="1" thickBot="1">
      <c r="B3" s="332" t="s">
        <v>205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3" t="s">
        <v>136</v>
      </c>
    </row>
    <row r="4" spans="2:21" ht="21" customHeight="1">
      <c r="B4" s="334"/>
      <c r="G4" s="31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16"/>
      <c r="U4" s="334"/>
    </row>
    <row r="5" spans="2:21" ht="21" customHeight="1">
      <c r="B5" s="334"/>
      <c r="E5" s="331" t="s">
        <v>196</v>
      </c>
      <c r="G5" s="317" t="s">
        <v>3</v>
      </c>
      <c r="H5" s="318" t="s">
        <v>4</v>
      </c>
      <c r="I5" s="318" t="s">
        <v>5</v>
      </c>
      <c r="J5" s="318" t="s">
        <v>6</v>
      </c>
      <c r="K5" s="318" t="s">
        <v>7</v>
      </c>
      <c r="L5" s="318" t="s">
        <v>8</v>
      </c>
      <c r="M5" s="318" t="s">
        <v>9</v>
      </c>
      <c r="N5" s="318" t="s">
        <v>240</v>
      </c>
      <c r="O5" s="318" t="s">
        <v>241</v>
      </c>
      <c r="P5" s="318" t="s">
        <v>242</v>
      </c>
      <c r="Q5" s="318" t="s">
        <v>10</v>
      </c>
      <c r="R5" s="318" t="s">
        <v>243</v>
      </c>
      <c r="S5" s="318" t="s">
        <v>11</v>
      </c>
      <c r="T5" s="316"/>
      <c r="U5" s="334"/>
    </row>
    <row r="6" spans="2:21" ht="21" customHeight="1">
      <c r="B6" s="334"/>
      <c r="G6" s="315"/>
      <c r="H6" s="77"/>
      <c r="I6" s="77"/>
      <c r="J6" s="462" t="s">
        <v>494</v>
      </c>
      <c r="K6" s="77"/>
      <c r="L6" s="77"/>
      <c r="M6" s="77"/>
      <c r="N6" s="77"/>
      <c r="O6" s="77"/>
      <c r="P6" s="77"/>
      <c r="Q6" s="77"/>
      <c r="R6" s="77"/>
      <c r="S6" s="77"/>
      <c r="T6" s="319" t="s">
        <v>12</v>
      </c>
      <c r="U6" s="334"/>
    </row>
    <row r="7" spans="2:21" ht="21" customHeight="1">
      <c r="B7" s="334"/>
      <c r="D7" s="331" t="s">
        <v>59</v>
      </c>
      <c r="G7" s="315" t="s">
        <v>357</v>
      </c>
      <c r="H7" s="77" t="s">
        <v>357</v>
      </c>
      <c r="I7" s="77"/>
      <c r="J7" s="463"/>
      <c r="K7" s="77"/>
      <c r="L7" s="77"/>
      <c r="M7" s="77" t="s">
        <v>357</v>
      </c>
      <c r="N7" s="77" t="s">
        <v>358</v>
      </c>
      <c r="O7" s="77" t="s">
        <v>359</v>
      </c>
      <c r="P7" s="77" t="s">
        <v>14</v>
      </c>
      <c r="Q7" s="77" t="s">
        <v>14</v>
      </c>
      <c r="R7" s="77" t="s">
        <v>360</v>
      </c>
      <c r="S7" s="77"/>
      <c r="T7" s="322"/>
      <c r="U7" s="334"/>
    </row>
    <row r="8" spans="2:21" ht="21" customHeight="1" thickBot="1">
      <c r="B8" s="335"/>
      <c r="C8" s="332"/>
      <c r="D8" s="332"/>
      <c r="E8" s="332"/>
      <c r="F8" s="336"/>
      <c r="G8" s="118" t="s">
        <v>361</v>
      </c>
      <c r="H8" s="81" t="s">
        <v>362</v>
      </c>
      <c r="I8" s="81" t="s">
        <v>15</v>
      </c>
      <c r="J8" s="81" t="s">
        <v>16</v>
      </c>
      <c r="K8" s="81" t="s">
        <v>321</v>
      </c>
      <c r="L8" s="81" t="s">
        <v>390</v>
      </c>
      <c r="M8" s="81" t="s">
        <v>18</v>
      </c>
      <c r="N8" s="81" t="s">
        <v>320</v>
      </c>
      <c r="O8" s="81" t="s">
        <v>339</v>
      </c>
      <c r="P8" s="81" t="s">
        <v>60</v>
      </c>
      <c r="Q8" s="81" t="s">
        <v>61</v>
      </c>
      <c r="R8" s="81" t="s">
        <v>246</v>
      </c>
      <c r="S8" s="81" t="s">
        <v>19</v>
      </c>
      <c r="T8" s="321"/>
      <c r="U8" s="334"/>
    </row>
    <row r="9" spans="2:21" ht="21" customHeight="1">
      <c r="B9" s="334" t="s">
        <v>206</v>
      </c>
      <c r="G9" s="337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4"/>
    </row>
    <row r="10" spans="2:21" ht="21" customHeight="1">
      <c r="B10" s="334"/>
      <c r="C10" s="331" t="s">
        <v>207</v>
      </c>
      <c r="G10" s="340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39"/>
      <c r="U10" s="334"/>
    </row>
    <row r="11" spans="2:21" ht="21" customHeight="1">
      <c r="B11" s="334"/>
      <c r="D11" s="331" t="s">
        <v>208</v>
      </c>
      <c r="F11" s="342" t="s">
        <v>209</v>
      </c>
      <c r="G11" s="343">
        <f aca="true" t="shared" si="0" ref="G11:S11">G13+G15</f>
        <v>131469</v>
      </c>
      <c r="H11" s="344">
        <f t="shared" si="0"/>
        <v>107470</v>
      </c>
      <c r="I11" s="344">
        <f t="shared" si="0"/>
        <v>85061</v>
      </c>
      <c r="J11" s="344">
        <f t="shared" si="0"/>
        <v>0</v>
      </c>
      <c r="K11" s="344">
        <f t="shared" si="0"/>
        <v>260308</v>
      </c>
      <c r="L11" s="344">
        <f t="shared" si="0"/>
        <v>59119</v>
      </c>
      <c r="M11" s="344">
        <f t="shared" si="0"/>
        <v>51898</v>
      </c>
      <c r="N11" s="344">
        <f t="shared" si="0"/>
        <v>37991</v>
      </c>
      <c r="O11" s="344">
        <f t="shared" si="0"/>
        <v>187187</v>
      </c>
      <c r="P11" s="344">
        <f t="shared" si="0"/>
        <v>0</v>
      </c>
      <c r="Q11" s="344">
        <f t="shared" si="0"/>
        <v>0</v>
      </c>
      <c r="R11" s="344">
        <f t="shared" si="0"/>
        <v>104483</v>
      </c>
      <c r="S11" s="344">
        <f t="shared" si="0"/>
        <v>44019</v>
      </c>
      <c r="T11" s="345">
        <f aca="true" t="shared" si="1" ref="T11:T17">SUM(G11:S11)</f>
        <v>1069005</v>
      </c>
      <c r="U11" s="334"/>
    </row>
    <row r="12" spans="2:21" ht="21" customHeight="1">
      <c r="B12" s="334"/>
      <c r="E12" s="346"/>
      <c r="F12" s="347" t="s">
        <v>210</v>
      </c>
      <c r="G12" s="348">
        <f aca="true" t="shared" si="2" ref="G12:S12">G14+G16+G17</f>
        <v>121574</v>
      </c>
      <c r="H12" s="349">
        <f t="shared" si="2"/>
        <v>0</v>
      </c>
      <c r="I12" s="349">
        <f t="shared" si="2"/>
        <v>85061</v>
      </c>
      <c r="J12" s="349">
        <f t="shared" si="2"/>
        <v>0</v>
      </c>
      <c r="K12" s="349">
        <f t="shared" si="2"/>
        <v>260308</v>
      </c>
      <c r="L12" s="349">
        <f t="shared" si="2"/>
        <v>59119</v>
      </c>
      <c r="M12" s="349">
        <f t="shared" si="2"/>
        <v>51898</v>
      </c>
      <c r="N12" s="349">
        <f t="shared" si="2"/>
        <v>37991</v>
      </c>
      <c r="O12" s="349">
        <f t="shared" si="2"/>
        <v>189287</v>
      </c>
      <c r="P12" s="349">
        <f t="shared" si="2"/>
        <v>0</v>
      </c>
      <c r="Q12" s="349">
        <f t="shared" si="2"/>
        <v>4153</v>
      </c>
      <c r="R12" s="349">
        <f t="shared" si="2"/>
        <v>81566</v>
      </c>
      <c r="S12" s="349">
        <f t="shared" si="2"/>
        <v>44019</v>
      </c>
      <c r="T12" s="350">
        <f>SUM(G12:S12)</f>
        <v>934976</v>
      </c>
      <c r="U12" s="334"/>
    </row>
    <row r="13" spans="2:21" ht="21" customHeight="1">
      <c r="B13" s="334"/>
      <c r="E13" s="331" t="s">
        <v>211</v>
      </c>
      <c r="F13" s="342" t="s">
        <v>209</v>
      </c>
      <c r="G13" s="351">
        <v>131469</v>
      </c>
      <c r="H13" s="352">
        <v>107470</v>
      </c>
      <c r="I13" s="352">
        <v>85061</v>
      </c>
      <c r="J13" s="352">
        <v>0</v>
      </c>
      <c r="K13" s="352">
        <v>260308</v>
      </c>
      <c r="L13" s="352">
        <v>59119</v>
      </c>
      <c r="M13" s="352">
        <v>51898</v>
      </c>
      <c r="N13" s="352">
        <v>37991</v>
      </c>
      <c r="O13" s="352">
        <v>136742</v>
      </c>
      <c r="P13" s="352">
        <v>0</v>
      </c>
      <c r="Q13" s="352">
        <v>0</v>
      </c>
      <c r="R13" s="352">
        <v>37991</v>
      </c>
      <c r="S13" s="352">
        <v>44019</v>
      </c>
      <c r="T13" s="345">
        <f t="shared" si="1"/>
        <v>952068</v>
      </c>
      <c r="U13" s="334"/>
    </row>
    <row r="14" spans="2:21" ht="21" customHeight="1">
      <c r="B14" s="334"/>
      <c r="E14" s="346"/>
      <c r="F14" s="347" t="s">
        <v>210</v>
      </c>
      <c r="G14" s="353">
        <v>95000</v>
      </c>
      <c r="H14" s="354">
        <v>0</v>
      </c>
      <c r="I14" s="354">
        <v>85061</v>
      </c>
      <c r="J14" s="354">
        <v>0</v>
      </c>
      <c r="K14" s="354">
        <v>260308</v>
      </c>
      <c r="L14" s="354">
        <v>59119</v>
      </c>
      <c r="M14" s="354">
        <v>51898</v>
      </c>
      <c r="N14" s="354">
        <v>37991</v>
      </c>
      <c r="O14" s="354">
        <v>136742</v>
      </c>
      <c r="P14" s="354">
        <v>0</v>
      </c>
      <c r="Q14" s="354">
        <v>0</v>
      </c>
      <c r="R14" s="354">
        <v>37991</v>
      </c>
      <c r="S14" s="354">
        <v>44019</v>
      </c>
      <c r="T14" s="350">
        <f t="shared" si="1"/>
        <v>808129</v>
      </c>
      <c r="U14" s="334"/>
    </row>
    <row r="15" spans="2:21" ht="21" customHeight="1">
      <c r="B15" s="334"/>
      <c r="E15" s="331" t="s">
        <v>212</v>
      </c>
      <c r="F15" s="342" t="s">
        <v>209</v>
      </c>
      <c r="G15" s="351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50445</v>
      </c>
      <c r="P15" s="352">
        <v>0</v>
      </c>
      <c r="Q15" s="352">
        <v>0</v>
      </c>
      <c r="R15" s="352">
        <v>66492</v>
      </c>
      <c r="S15" s="352">
        <v>0</v>
      </c>
      <c r="T15" s="345">
        <f t="shared" si="1"/>
        <v>116937</v>
      </c>
      <c r="U15" s="334"/>
    </row>
    <row r="16" spans="2:21" ht="21" customHeight="1">
      <c r="B16" s="334"/>
      <c r="E16" s="346"/>
      <c r="F16" s="347" t="s">
        <v>210</v>
      </c>
      <c r="G16" s="353">
        <v>0</v>
      </c>
      <c r="H16" s="354">
        <v>0</v>
      </c>
      <c r="I16" s="354">
        <v>0</v>
      </c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50445</v>
      </c>
      <c r="P16" s="354">
        <v>0</v>
      </c>
      <c r="Q16" s="354">
        <v>0</v>
      </c>
      <c r="R16" s="354">
        <v>43575</v>
      </c>
      <c r="S16" s="354">
        <v>0</v>
      </c>
      <c r="T16" s="350">
        <f t="shared" si="1"/>
        <v>94020</v>
      </c>
      <c r="U16" s="334"/>
    </row>
    <row r="17" spans="2:21" ht="21" customHeight="1">
      <c r="B17" s="334"/>
      <c r="C17" s="346"/>
      <c r="D17" s="346"/>
      <c r="E17" s="346" t="s">
        <v>193</v>
      </c>
      <c r="F17" s="347" t="s">
        <v>210</v>
      </c>
      <c r="G17" s="355">
        <v>26574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56">
        <v>2100</v>
      </c>
      <c r="P17" s="356">
        <v>0</v>
      </c>
      <c r="Q17" s="356">
        <v>4153</v>
      </c>
      <c r="R17" s="356">
        <v>0</v>
      </c>
      <c r="S17" s="356">
        <v>0</v>
      </c>
      <c r="T17" s="350">
        <f t="shared" si="1"/>
        <v>32827</v>
      </c>
      <c r="U17" s="334"/>
    </row>
    <row r="18" spans="2:21" ht="21" customHeight="1">
      <c r="B18" s="334"/>
      <c r="C18" s="331" t="s">
        <v>213</v>
      </c>
      <c r="G18" s="357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34"/>
    </row>
    <row r="19" spans="2:21" ht="21" customHeight="1">
      <c r="B19" s="334"/>
      <c r="D19" s="331" t="s">
        <v>214</v>
      </c>
      <c r="F19" s="342" t="s">
        <v>209</v>
      </c>
      <c r="G19" s="359">
        <f aca="true" t="shared" si="3" ref="G19:R19">G21+G23+G25+G27+G29+G31+G33+G35</f>
        <v>355804</v>
      </c>
      <c r="H19" s="345">
        <f t="shared" si="3"/>
        <v>141540</v>
      </c>
      <c r="I19" s="345">
        <f t="shared" si="3"/>
        <v>244409</v>
      </c>
      <c r="J19" s="345">
        <f t="shared" si="3"/>
        <v>75099</v>
      </c>
      <c r="K19" s="345">
        <f t="shared" si="3"/>
        <v>85541</v>
      </c>
      <c r="L19" s="345">
        <f t="shared" si="3"/>
        <v>75756</v>
      </c>
      <c r="M19" s="345">
        <f t="shared" si="3"/>
        <v>1959</v>
      </c>
      <c r="N19" s="345">
        <f t="shared" si="3"/>
        <v>29177</v>
      </c>
      <c r="O19" s="345">
        <f t="shared" si="3"/>
        <v>42005</v>
      </c>
      <c r="P19" s="345">
        <f t="shared" si="3"/>
        <v>12819</v>
      </c>
      <c r="Q19" s="345">
        <f t="shared" si="3"/>
        <v>704</v>
      </c>
      <c r="R19" s="345">
        <f t="shared" si="3"/>
        <v>8434</v>
      </c>
      <c r="S19" s="345">
        <f>S21+S23+S25+S27+S29+S31+S33+S35</f>
        <v>156546</v>
      </c>
      <c r="T19" s="345">
        <f aca="true" t="shared" si="4" ref="T19:T51">SUM(G19:S19)</f>
        <v>1229793</v>
      </c>
      <c r="U19" s="334"/>
    </row>
    <row r="20" spans="2:21" ht="21" customHeight="1">
      <c r="B20" s="334"/>
      <c r="E20" s="346"/>
      <c r="F20" s="347" t="s">
        <v>210</v>
      </c>
      <c r="G20" s="360">
        <f aca="true" t="shared" si="5" ref="G20:S20">G22+G24+G26+G28+G30+G32+G34+G36+G37</f>
        <v>367494</v>
      </c>
      <c r="H20" s="350">
        <f t="shared" si="5"/>
        <v>85973</v>
      </c>
      <c r="I20" s="350">
        <f t="shared" si="5"/>
        <v>244409</v>
      </c>
      <c r="J20" s="350">
        <f t="shared" si="5"/>
        <v>79965</v>
      </c>
      <c r="K20" s="350">
        <f t="shared" si="5"/>
        <v>85541</v>
      </c>
      <c r="L20" s="350">
        <f t="shared" si="5"/>
        <v>0</v>
      </c>
      <c r="M20" s="350">
        <f t="shared" si="5"/>
        <v>201732</v>
      </c>
      <c r="N20" s="350">
        <f t="shared" si="5"/>
        <v>32564</v>
      </c>
      <c r="O20" s="350">
        <f t="shared" si="5"/>
        <v>42005</v>
      </c>
      <c r="P20" s="350">
        <f t="shared" si="5"/>
        <v>170463</v>
      </c>
      <c r="Q20" s="350">
        <f t="shared" si="5"/>
        <v>3704</v>
      </c>
      <c r="R20" s="350">
        <f t="shared" si="5"/>
        <v>8434</v>
      </c>
      <c r="S20" s="350">
        <f t="shared" si="5"/>
        <v>115443</v>
      </c>
      <c r="T20" s="350">
        <f t="shared" si="4"/>
        <v>1437727</v>
      </c>
      <c r="U20" s="334"/>
    </row>
    <row r="21" spans="2:21" ht="21" customHeight="1">
      <c r="B21" s="334"/>
      <c r="E21" s="331" t="s">
        <v>215</v>
      </c>
      <c r="F21" s="342" t="s">
        <v>209</v>
      </c>
      <c r="G21" s="359">
        <v>26366</v>
      </c>
      <c r="H21" s="345">
        <v>12216</v>
      </c>
      <c r="I21" s="345">
        <v>10865</v>
      </c>
      <c r="J21" s="345">
        <v>4130</v>
      </c>
      <c r="K21" s="345">
        <v>6287</v>
      </c>
      <c r="L21" s="345">
        <v>4442</v>
      </c>
      <c r="M21" s="345">
        <v>1959</v>
      </c>
      <c r="N21" s="345">
        <v>870</v>
      </c>
      <c r="O21" s="345">
        <v>3458</v>
      </c>
      <c r="P21" s="345">
        <v>231</v>
      </c>
      <c r="Q21" s="345">
        <v>300</v>
      </c>
      <c r="R21" s="345">
        <v>591</v>
      </c>
      <c r="S21" s="345">
        <v>3238</v>
      </c>
      <c r="T21" s="345">
        <f t="shared" si="4"/>
        <v>74953</v>
      </c>
      <c r="U21" s="334"/>
    </row>
    <row r="22" spans="2:21" ht="21" customHeight="1">
      <c r="B22" s="334"/>
      <c r="E22" s="346"/>
      <c r="F22" s="347" t="s">
        <v>210</v>
      </c>
      <c r="G22" s="360">
        <v>26366</v>
      </c>
      <c r="H22" s="350">
        <v>0</v>
      </c>
      <c r="I22" s="350">
        <v>10865</v>
      </c>
      <c r="J22" s="350">
        <v>8261</v>
      </c>
      <c r="K22" s="350">
        <v>6287</v>
      </c>
      <c r="L22" s="350">
        <v>0</v>
      </c>
      <c r="M22" s="350">
        <v>1959</v>
      </c>
      <c r="N22" s="350">
        <v>1741</v>
      </c>
      <c r="O22" s="350">
        <v>3458</v>
      </c>
      <c r="P22" s="350">
        <v>463</v>
      </c>
      <c r="Q22" s="350">
        <v>300</v>
      </c>
      <c r="R22" s="350">
        <v>591</v>
      </c>
      <c r="S22" s="350">
        <v>3238</v>
      </c>
      <c r="T22" s="350">
        <f t="shared" si="4"/>
        <v>63529</v>
      </c>
      <c r="U22" s="334"/>
    </row>
    <row r="23" spans="2:21" ht="21" customHeight="1">
      <c r="B23" s="334"/>
      <c r="E23" s="361" t="s">
        <v>502</v>
      </c>
      <c r="F23" s="342" t="s">
        <v>209</v>
      </c>
      <c r="G23" s="359">
        <v>0</v>
      </c>
      <c r="H23" s="345">
        <v>0</v>
      </c>
      <c r="I23" s="345">
        <v>141890</v>
      </c>
      <c r="J23" s="345">
        <v>0</v>
      </c>
      <c r="K23" s="345">
        <v>0</v>
      </c>
      <c r="L23" s="345">
        <v>0</v>
      </c>
      <c r="M23" s="345">
        <v>0</v>
      </c>
      <c r="N23" s="345">
        <v>291</v>
      </c>
      <c r="O23" s="345">
        <v>0</v>
      </c>
      <c r="P23" s="345">
        <v>0</v>
      </c>
      <c r="Q23" s="345">
        <v>0</v>
      </c>
      <c r="R23" s="345">
        <v>0</v>
      </c>
      <c r="S23" s="345">
        <v>62968</v>
      </c>
      <c r="T23" s="345">
        <f t="shared" si="4"/>
        <v>205149</v>
      </c>
      <c r="U23" s="334"/>
    </row>
    <row r="24" spans="2:21" ht="21" customHeight="1">
      <c r="B24" s="334"/>
      <c r="E24" s="362"/>
      <c r="F24" s="347" t="s">
        <v>210</v>
      </c>
      <c r="G24" s="360">
        <v>0</v>
      </c>
      <c r="H24" s="350">
        <v>0</v>
      </c>
      <c r="I24" s="350">
        <v>141890</v>
      </c>
      <c r="J24" s="350">
        <v>0</v>
      </c>
      <c r="K24" s="350">
        <v>0</v>
      </c>
      <c r="L24" s="350">
        <v>0</v>
      </c>
      <c r="M24" s="350">
        <v>0</v>
      </c>
      <c r="N24" s="350">
        <v>291</v>
      </c>
      <c r="O24" s="350">
        <v>0</v>
      </c>
      <c r="P24" s="350">
        <v>0</v>
      </c>
      <c r="Q24" s="350">
        <v>0</v>
      </c>
      <c r="R24" s="350">
        <v>0</v>
      </c>
      <c r="S24" s="350">
        <v>62968</v>
      </c>
      <c r="T24" s="350">
        <f t="shared" si="4"/>
        <v>205149</v>
      </c>
      <c r="U24" s="334"/>
    </row>
    <row r="25" spans="2:21" ht="21" customHeight="1">
      <c r="B25" s="334"/>
      <c r="E25" s="361" t="s">
        <v>484</v>
      </c>
      <c r="F25" s="342" t="s">
        <v>209</v>
      </c>
      <c r="G25" s="359">
        <v>115436</v>
      </c>
      <c r="H25" s="345">
        <v>38086</v>
      </c>
      <c r="I25" s="345">
        <v>58127</v>
      </c>
      <c r="J25" s="345">
        <v>41814</v>
      </c>
      <c r="K25" s="345">
        <v>37869</v>
      </c>
      <c r="L25" s="345">
        <v>36406</v>
      </c>
      <c r="M25" s="345">
        <v>0</v>
      </c>
      <c r="N25" s="345">
        <v>16615</v>
      </c>
      <c r="O25" s="345">
        <v>0</v>
      </c>
      <c r="P25" s="345">
        <v>6542</v>
      </c>
      <c r="Q25" s="345">
        <v>404</v>
      </c>
      <c r="R25" s="345">
        <v>2288</v>
      </c>
      <c r="S25" s="345">
        <v>34098</v>
      </c>
      <c r="T25" s="345">
        <f t="shared" si="4"/>
        <v>387685</v>
      </c>
      <c r="U25" s="334"/>
    </row>
    <row r="26" spans="2:21" ht="21" customHeight="1">
      <c r="B26" s="334"/>
      <c r="E26" s="346"/>
      <c r="F26" s="347" t="s">
        <v>210</v>
      </c>
      <c r="G26" s="360">
        <v>115436</v>
      </c>
      <c r="H26" s="350">
        <v>7779</v>
      </c>
      <c r="I26" s="350">
        <v>58127</v>
      </c>
      <c r="J26" s="350">
        <v>41814</v>
      </c>
      <c r="K26" s="350">
        <v>37869</v>
      </c>
      <c r="L26" s="350">
        <v>0</v>
      </c>
      <c r="M26" s="350">
        <v>0</v>
      </c>
      <c r="N26" s="350">
        <v>16615</v>
      </c>
      <c r="O26" s="350">
        <v>0</v>
      </c>
      <c r="P26" s="350">
        <v>6542</v>
      </c>
      <c r="Q26" s="350">
        <v>404</v>
      </c>
      <c r="R26" s="350">
        <v>2288</v>
      </c>
      <c r="S26" s="350">
        <v>0</v>
      </c>
      <c r="T26" s="350">
        <f t="shared" si="4"/>
        <v>286874</v>
      </c>
      <c r="U26" s="334"/>
    </row>
    <row r="27" spans="2:21" ht="21" customHeight="1">
      <c r="B27" s="334"/>
      <c r="E27" s="331" t="s">
        <v>216</v>
      </c>
      <c r="F27" s="342" t="s">
        <v>209</v>
      </c>
      <c r="G27" s="359">
        <v>140308</v>
      </c>
      <c r="H27" s="345">
        <v>73972</v>
      </c>
      <c r="I27" s="345">
        <v>30593</v>
      </c>
      <c r="J27" s="345">
        <v>19968</v>
      </c>
      <c r="K27" s="345">
        <v>30286</v>
      </c>
      <c r="L27" s="345">
        <v>32026</v>
      </c>
      <c r="M27" s="345">
        <v>0</v>
      </c>
      <c r="N27" s="451">
        <v>9366</v>
      </c>
      <c r="O27" s="345">
        <v>36904</v>
      </c>
      <c r="P27" s="345">
        <v>5146</v>
      </c>
      <c r="Q27" s="345">
        <v>0</v>
      </c>
      <c r="R27" s="345">
        <v>4935</v>
      </c>
      <c r="S27" s="345">
        <v>46150</v>
      </c>
      <c r="T27" s="345">
        <f t="shared" si="4"/>
        <v>429654</v>
      </c>
      <c r="U27" s="334"/>
    </row>
    <row r="28" spans="2:21" ht="21" customHeight="1">
      <c r="B28" s="334"/>
      <c r="E28" s="346" t="s">
        <v>217</v>
      </c>
      <c r="F28" s="347" t="s">
        <v>210</v>
      </c>
      <c r="G28" s="360">
        <v>140308</v>
      </c>
      <c r="H28" s="350">
        <v>73972</v>
      </c>
      <c r="I28" s="350">
        <v>30593</v>
      </c>
      <c r="J28" s="350">
        <v>19968</v>
      </c>
      <c r="K28" s="350">
        <v>30286</v>
      </c>
      <c r="L28" s="350">
        <v>0</v>
      </c>
      <c r="M28" s="350">
        <v>0</v>
      </c>
      <c r="N28" s="453">
        <v>9366</v>
      </c>
      <c r="O28" s="350">
        <v>36904</v>
      </c>
      <c r="P28" s="350">
        <v>5146</v>
      </c>
      <c r="Q28" s="350">
        <v>0</v>
      </c>
      <c r="R28" s="350">
        <v>4935</v>
      </c>
      <c r="S28" s="350">
        <v>40407</v>
      </c>
      <c r="T28" s="350">
        <f t="shared" si="4"/>
        <v>391885</v>
      </c>
      <c r="U28" s="334"/>
    </row>
    <row r="29" spans="2:21" ht="21" customHeight="1">
      <c r="B29" s="334"/>
      <c r="E29" s="331" t="s">
        <v>218</v>
      </c>
      <c r="F29" s="342" t="s">
        <v>209</v>
      </c>
      <c r="G29" s="359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f t="shared" si="4"/>
        <v>0</v>
      </c>
      <c r="U29" s="334"/>
    </row>
    <row r="30" spans="2:21" ht="21" customHeight="1">
      <c r="B30" s="334"/>
      <c r="E30" s="346"/>
      <c r="F30" s="347" t="s">
        <v>210</v>
      </c>
      <c r="G30" s="360">
        <v>0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f t="shared" si="4"/>
        <v>0</v>
      </c>
      <c r="U30" s="334"/>
    </row>
    <row r="31" spans="2:21" ht="21" customHeight="1">
      <c r="B31" s="334"/>
      <c r="E31" s="363" t="s">
        <v>283</v>
      </c>
      <c r="F31" s="342" t="s">
        <v>209</v>
      </c>
      <c r="G31" s="359">
        <v>0</v>
      </c>
      <c r="H31" s="345">
        <v>3550</v>
      </c>
      <c r="I31" s="345">
        <v>2934</v>
      </c>
      <c r="J31" s="345">
        <v>1345</v>
      </c>
      <c r="K31" s="345">
        <v>0</v>
      </c>
      <c r="L31" s="345">
        <v>2882</v>
      </c>
      <c r="M31" s="345">
        <v>0</v>
      </c>
      <c r="N31" s="345">
        <v>1415</v>
      </c>
      <c r="O31" s="345">
        <v>0</v>
      </c>
      <c r="P31" s="345">
        <v>900</v>
      </c>
      <c r="Q31" s="345">
        <v>0</v>
      </c>
      <c r="R31" s="345">
        <v>620</v>
      </c>
      <c r="S31" s="345">
        <v>1262</v>
      </c>
      <c r="T31" s="345">
        <f t="shared" si="4"/>
        <v>14908</v>
      </c>
      <c r="U31" s="334"/>
    </row>
    <row r="32" spans="2:21" ht="21" customHeight="1">
      <c r="B32" s="334"/>
      <c r="E32" s="346"/>
      <c r="F32" s="347" t="s">
        <v>210</v>
      </c>
      <c r="G32" s="360">
        <v>0</v>
      </c>
      <c r="H32" s="350">
        <v>0</v>
      </c>
      <c r="I32" s="350">
        <v>2934</v>
      </c>
      <c r="J32" s="350">
        <v>2080</v>
      </c>
      <c r="K32" s="350">
        <v>0</v>
      </c>
      <c r="L32" s="350">
        <v>0</v>
      </c>
      <c r="M32" s="350">
        <v>0</v>
      </c>
      <c r="N32" s="350">
        <v>1415</v>
      </c>
      <c r="O32" s="350">
        <v>0</v>
      </c>
      <c r="P32" s="350">
        <v>900</v>
      </c>
      <c r="Q32" s="350">
        <v>0</v>
      </c>
      <c r="R32" s="350">
        <v>620</v>
      </c>
      <c r="S32" s="350">
        <v>0</v>
      </c>
      <c r="T32" s="350">
        <f t="shared" si="4"/>
        <v>7949</v>
      </c>
      <c r="U32" s="334"/>
    </row>
    <row r="33" spans="2:21" ht="21" customHeight="1">
      <c r="B33" s="334"/>
      <c r="E33" s="361" t="s">
        <v>319</v>
      </c>
      <c r="F33" s="342" t="s">
        <v>209</v>
      </c>
      <c r="G33" s="359">
        <v>72531</v>
      </c>
      <c r="H33" s="345">
        <v>13716</v>
      </c>
      <c r="I33" s="345">
        <v>0</v>
      </c>
      <c r="J33" s="345">
        <v>7842</v>
      </c>
      <c r="K33" s="345">
        <v>7253</v>
      </c>
      <c r="L33" s="345">
        <v>0</v>
      </c>
      <c r="M33" s="345">
        <v>0</v>
      </c>
      <c r="N33" s="345">
        <v>0</v>
      </c>
      <c r="O33" s="345">
        <v>1643</v>
      </c>
      <c r="P33" s="345">
        <v>0</v>
      </c>
      <c r="Q33" s="345">
        <v>0</v>
      </c>
      <c r="R33" s="345">
        <v>0</v>
      </c>
      <c r="S33" s="345">
        <v>8830</v>
      </c>
      <c r="T33" s="345">
        <f t="shared" si="4"/>
        <v>111815</v>
      </c>
      <c r="U33" s="334"/>
    </row>
    <row r="34" spans="2:21" ht="21" customHeight="1">
      <c r="B34" s="334"/>
      <c r="E34" s="346"/>
      <c r="F34" s="347" t="s">
        <v>210</v>
      </c>
      <c r="G34" s="360">
        <v>72531</v>
      </c>
      <c r="H34" s="350">
        <v>4222</v>
      </c>
      <c r="I34" s="350">
        <v>0</v>
      </c>
      <c r="J34" s="350">
        <v>7842</v>
      </c>
      <c r="K34" s="350">
        <v>7253</v>
      </c>
      <c r="L34" s="350">
        <v>0</v>
      </c>
      <c r="M34" s="350">
        <v>0</v>
      </c>
      <c r="N34" s="350">
        <v>0</v>
      </c>
      <c r="O34" s="350">
        <v>1643</v>
      </c>
      <c r="P34" s="350">
        <v>0</v>
      </c>
      <c r="Q34" s="350">
        <v>0</v>
      </c>
      <c r="R34" s="350">
        <v>0</v>
      </c>
      <c r="S34" s="350">
        <v>8830</v>
      </c>
      <c r="T34" s="350">
        <f t="shared" si="4"/>
        <v>102321</v>
      </c>
      <c r="U34" s="334"/>
    </row>
    <row r="35" spans="2:21" ht="21" customHeight="1">
      <c r="B35" s="334"/>
      <c r="E35" s="361" t="s">
        <v>503</v>
      </c>
      <c r="F35" s="342" t="s">
        <v>209</v>
      </c>
      <c r="G35" s="359">
        <v>1163</v>
      </c>
      <c r="H35" s="345">
        <v>0</v>
      </c>
      <c r="I35" s="345">
        <v>0</v>
      </c>
      <c r="J35" s="345">
        <v>0</v>
      </c>
      <c r="K35" s="345">
        <v>3846</v>
      </c>
      <c r="L35" s="345">
        <v>0</v>
      </c>
      <c r="M35" s="345">
        <v>0</v>
      </c>
      <c r="N35" s="345">
        <v>620</v>
      </c>
      <c r="O35" s="345">
        <v>0</v>
      </c>
      <c r="P35" s="345">
        <v>0</v>
      </c>
      <c r="Q35" s="345">
        <v>0</v>
      </c>
      <c r="R35" s="345">
        <v>0</v>
      </c>
      <c r="S35" s="345">
        <v>0</v>
      </c>
      <c r="T35" s="345">
        <f t="shared" si="4"/>
        <v>5629</v>
      </c>
      <c r="U35" s="334"/>
    </row>
    <row r="36" spans="2:21" ht="21" customHeight="1">
      <c r="B36" s="334"/>
      <c r="E36" s="364" t="s">
        <v>504</v>
      </c>
      <c r="F36" s="347" t="s">
        <v>210</v>
      </c>
      <c r="G36" s="360">
        <v>1163</v>
      </c>
      <c r="H36" s="350">
        <v>0</v>
      </c>
      <c r="I36" s="350">
        <v>0</v>
      </c>
      <c r="J36" s="350">
        <v>0</v>
      </c>
      <c r="K36" s="350">
        <v>3846</v>
      </c>
      <c r="L36" s="350">
        <v>0</v>
      </c>
      <c r="M36" s="350">
        <v>0</v>
      </c>
      <c r="N36" s="350">
        <v>620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f t="shared" si="4"/>
        <v>5629</v>
      </c>
      <c r="U36" s="334"/>
    </row>
    <row r="37" spans="2:21" ht="21" customHeight="1">
      <c r="B37" s="334"/>
      <c r="D37" s="346"/>
      <c r="E37" s="346" t="s">
        <v>193</v>
      </c>
      <c r="F37" s="347" t="s">
        <v>210</v>
      </c>
      <c r="G37" s="360">
        <v>11690</v>
      </c>
      <c r="H37" s="350">
        <v>0</v>
      </c>
      <c r="I37" s="350">
        <v>0</v>
      </c>
      <c r="J37" s="350">
        <v>0</v>
      </c>
      <c r="K37" s="350">
        <v>0</v>
      </c>
      <c r="L37" s="350">
        <v>0</v>
      </c>
      <c r="M37" s="350">
        <v>199773</v>
      </c>
      <c r="N37" s="350">
        <v>2516</v>
      </c>
      <c r="O37" s="350">
        <v>0</v>
      </c>
      <c r="P37" s="350">
        <v>157412</v>
      </c>
      <c r="Q37" s="350">
        <v>3000</v>
      </c>
      <c r="R37" s="350">
        <v>0</v>
      </c>
      <c r="S37" s="350">
        <v>0</v>
      </c>
      <c r="T37" s="350">
        <f t="shared" si="4"/>
        <v>374391</v>
      </c>
      <c r="U37" s="334"/>
    </row>
    <row r="38" spans="2:21" ht="21" customHeight="1">
      <c r="B38" s="334"/>
      <c r="D38" s="331" t="s">
        <v>208</v>
      </c>
      <c r="F38" s="342" t="s">
        <v>209</v>
      </c>
      <c r="G38" s="359">
        <f>G40+G42+G44+G46+G48+G50+'08繰入金(2)'!G9+'08繰入金(2)'!G11+'08繰入金(2)'!G13+'08繰入金(2)'!G15</f>
        <v>18316</v>
      </c>
      <c r="H38" s="345">
        <f>H40+H42+H44+H46+H48+H50+'08繰入金(2)'!H9+'08繰入金(2)'!H11+'08繰入金(2)'!H13+'08繰入金(2)'!H15</f>
        <v>48214</v>
      </c>
      <c r="I38" s="345">
        <f>I40+I42+I44+I46+I48+I50+'08繰入金(2)'!I9+'08繰入金(2)'!I11+'08繰入金(2)'!I13+'08繰入金(2)'!I15</f>
        <v>206249</v>
      </c>
      <c r="J38" s="345">
        <f>J40+J42+J44+J46+J48+J50+'08繰入金(2)'!J9+'08繰入金(2)'!J11+'08繰入金(2)'!J13+'08繰入金(2)'!J15</f>
        <v>52087</v>
      </c>
      <c r="K38" s="345">
        <f>K40+K42+K44+K46+K48+K50+'08繰入金(2)'!K9+'08繰入金(2)'!K11+'08繰入金(2)'!K13+'08繰入金(2)'!K15</f>
        <v>407321</v>
      </c>
      <c r="L38" s="345">
        <f>L40+L42+L44+L46+L48+L50+'08繰入金(2)'!L9+'08繰入金(2)'!L11+'08繰入金(2)'!L13+'08繰入金(2)'!L15</f>
        <v>188465</v>
      </c>
      <c r="M38" s="345">
        <f>M40+M42+M44+M46+M48+M50+'08繰入金(2)'!M9+'08繰入金(2)'!M11+'08繰入金(2)'!M13+'08繰入金(2)'!M15</f>
        <v>27250</v>
      </c>
      <c r="N38" s="345">
        <f>N40+N42+N44+N46+N48+N50+'08繰入金(2)'!N9+'08繰入金(2)'!N11+'08繰入金(2)'!N13+'08繰入金(2)'!N15</f>
        <v>107322</v>
      </c>
      <c r="O38" s="345">
        <f>O40+O42+O44+O46+O48+O50+'08繰入金(2)'!O9+'08繰入金(2)'!O11+'08繰入金(2)'!O13+'08繰入金(2)'!O15</f>
        <v>24957</v>
      </c>
      <c r="P38" s="345">
        <f>P40+P42+P44+P46+P48+P50+'08繰入金(2)'!P9+'08繰入金(2)'!P11+'08繰入金(2)'!P13+'08繰入金(2)'!P15</f>
        <v>2294</v>
      </c>
      <c r="Q38" s="345">
        <f>Q40+Q42+Q44+Q46+Q48+Q50+'08繰入金(2)'!Q9+'08繰入金(2)'!Q11+'08繰入金(2)'!Q13+'08繰入金(2)'!Q15</f>
        <v>72056</v>
      </c>
      <c r="R38" s="345">
        <f>R40+R42+R44+R46+R48+R50+'08繰入金(2)'!R9+'08繰入金(2)'!R11+'08繰入金(2)'!R13+'08繰入金(2)'!R15</f>
        <v>116581</v>
      </c>
      <c r="S38" s="345">
        <f>S40+S42+S44+S46+S48+S50+'08繰入金(2)'!S9+'08繰入金(2)'!S11+'08繰入金(2)'!S13+'08繰入金(2)'!S15</f>
        <v>48242</v>
      </c>
      <c r="T38" s="345">
        <f t="shared" si="4"/>
        <v>1319354</v>
      </c>
      <c r="U38" s="334"/>
    </row>
    <row r="39" spans="2:21" ht="21" customHeight="1">
      <c r="B39" s="334"/>
      <c r="E39" s="346"/>
      <c r="F39" s="347" t="s">
        <v>210</v>
      </c>
      <c r="G39" s="360">
        <f>G41+G43+G45+G47+G49+G51+'08繰入金(2)'!G10+'08繰入金(2)'!G12+'08繰入金(2)'!G14+'08繰入金(2)'!G16+'08繰入金(2)'!G17</f>
        <v>19029</v>
      </c>
      <c r="H39" s="350">
        <f>H41+H43+H45+H47+H49+H51+'08繰入金(2)'!H10+'08繰入金(2)'!H12+'08繰入金(2)'!H14+'08繰入金(2)'!H16+'08繰入金(2)'!H17</f>
        <v>321806</v>
      </c>
      <c r="I39" s="350">
        <f>I41+I43+I45+I47+I49+I51+'08繰入金(2)'!I10+'08繰入金(2)'!I12+'08繰入金(2)'!I14+'08繰入金(2)'!I16+'08繰入金(2)'!I17</f>
        <v>262827</v>
      </c>
      <c r="J39" s="350">
        <f>J41+J43+J45+J47+J49+J51+'08繰入金(2)'!J10+'08繰入金(2)'!J12+'08繰入金(2)'!J14+'08繰入金(2)'!J16+'08繰入金(2)'!J17</f>
        <v>236543</v>
      </c>
      <c r="K39" s="350">
        <f>K41+K43+K45+K47+K49+K51+'08繰入金(2)'!K10+'08繰入金(2)'!K12+'08繰入金(2)'!K14+'08繰入金(2)'!K16+'08繰入金(2)'!K17</f>
        <v>446745</v>
      </c>
      <c r="L39" s="350">
        <f>L41+L43+L45+L47+L49+L51+'08繰入金(2)'!L10+'08繰入金(2)'!L12+'08繰入金(2)'!L14+'08繰入金(2)'!L16+'08繰入金(2)'!L17</f>
        <v>102363</v>
      </c>
      <c r="M39" s="350">
        <f>M41+M43+M45+M47+M49+M51+'08繰入金(2)'!M10+'08繰入金(2)'!M12+'08繰入金(2)'!M14+'08繰入金(2)'!M16+'08繰入金(2)'!M17</f>
        <v>27250</v>
      </c>
      <c r="N39" s="350">
        <f>N41+N43+N45+N47+N49+N51+'08繰入金(2)'!N10+'08繰入金(2)'!N12+'08繰入金(2)'!N14+'08繰入金(2)'!N16+'08繰入金(2)'!N17</f>
        <v>420362</v>
      </c>
      <c r="O39" s="350">
        <f>O41+O43+O45+O47+O49+O51+'08繰入金(2)'!O10+'08繰入金(2)'!O12+'08繰入金(2)'!O14+'08繰入金(2)'!O16+'08繰入金(2)'!O17</f>
        <v>24957</v>
      </c>
      <c r="P39" s="350">
        <f>P41+P43+P45+P47+P49+P51+'08繰入金(2)'!P10+'08繰入金(2)'!P12+'08繰入金(2)'!P14+'08繰入金(2)'!P16+'08繰入金(2)'!P17</f>
        <v>10067</v>
      </c>
      <c r="Q39" s="350">
        <f>Q41+Q43+Q45+Q47+Q49+Q51+'08繰入金(2)'!Q10+'08繰入金(2)'!Q12+'08繰入金(2)'!Q14+'08繰入金(2)'!Q16+'08繰入金(2)'!Q17</f>
        <v>72901</v>
      </c>
      <c r="R39" s="350">
        <f>R41+R43+R45+R47+R49+R51+'08繰入金(2)'!R10+'08繰入金(2)'!R12+'08繰入金(2)'!R14+'08繰入金(2)'!R16+'08繰入金(2)'!R17</f>
        <v>116581</v>
      </c>
      <c r="S39" s="350">
        <f>S41+S43+S45+S47+S49+S51+'08繰入金(2)'!S10+'08繰入金(2)'!S12+'08繰入金(2)'!S14+'08繰入金(2)'!S16+'08繰入金(2)'!S17</f>
        <v>48242</v>
      </c>
      <c r="T39" s="350">
        <f t="shared" si="4"/>
        <v>2109673</v>
      </c>
      <c r="U39" s="334"/>
    </row>
    <row r="40" spans="2:21" ht="21" customHeight="1">
      <c r="B40" s="334"/>
      <c r="E40" s="331" t="s">
        <v>219</v>
      </c>
      <c r="F40" s="342" t="s">
        <v>209</v>
      </c>
      <c r="G40" s="450">
        <v>18316</v>
      </c>
      <c r="H40" s="451">
        <v>12272</v>
      </c>
      <c r="I40" s="451">
        <v>191987</v>
      </c>
      <c r="J40" s="451">
        <v>1402</v>
      </c>
      <c r="K40" s="451">
        <v>174781</v>
      </c>
      <c r="L40" s="451">
        <v>81313</v>
      </c>
      <c r="M40" s="451">
        <v>24599</v>
      </c>
      <c r="N40" s="451">
        <v>19466</v>
      </c>
      <c r="O40" s="451">
        <v>23461</v>
      </c>
      <c r="P40" s="451">
        <v>2294</v>
      </c>
      <c r="Q40" s="451">
        <v>10485</v>
      </c>
      <c r="R40" s="451">
        <v>3160</v>
      </c>
      <c r="S40" s="451">
        <v>48242</v>
      </c>
      <c r="T40" s="345">
        <f t="shared" si="4"/>
        <v>611778</v>
      </c>
      <c r="U40" s="334"/>
    </row>
    <row r="41" spans="2:21" ht="21" customHeight="1">
      <c r="B41" s="334"/>
      <c r="E41" s="364" t="s">
        <v>486</v>
      </c>
      <c r="F41" s="347" t="s">
        <v>210</v>
      </c>
      <c r="G41" s="452">
        <v>18316</v>
      </c>
      <c r="H41" s="453">
        <v>12272</v>
      </c>
      <c r="I41" s="453">
        <v>191987</v>
      </c>
      <c r="J41" s="453">
        <v>2542</v>
      </c>
      <c r="K41" s="453">
        <v>174781</v>
      </c>
      <c r="L41" s="453">
        <v>81313</v>
      </c>
      <c r="M41" s="453">
        <v>24599</v>
      </c>
      <c r="N41" s="453">
        <v>29199</v>
      </c>
      <c r="O41" s="453">
        <v>23461</v>
      </c>
      <c r="P41" s="453">
        <v>3729</v>
      </c>
      <c r="Q41" s="453">
        <v>10485</v>
      </c>
      <c r="R41" s="453">
        <v>3160</v>
      </c>
      <c r="S41" s="453">
        <v>48242</v>
      </c>
      <c r="T41" s="350">
        <f t="shared" si="4"/>
        <v>624086</v>
      </c>
      <c r="U41" s="334"/>
    </row>
    <row r="42" spans="2:21" ht="21" customHeight="1">
      <c r="B42" s="334"/>
      <c r="E42" s="331" t="s">
        <v>220</v>
      </c>
      <c r="F42" s="342" t="s">
        <v>209</v>
      </c>
      <c r="G42" s="450">
        <v>0</v>
      </c>
      <c r="H42" s="451">
        <v>0</v>
      </c>
      <c r="I42" s="451">
        <v>0</v>
      </c>
      <c r="J42" s="451">
        <v>0</v>
      </c>
      <c r="K42" s="451">
        <v>0</v>
      </c>
      <c r="L42" s="451">
        <v>0</v>
      </c>
      <c r="M42" s="451">
        <v>0</v>
      </c>
      <c r="N42" s="451">
        <v>0</v>
      </c>
      <c r="O42" s="451">
        <v>0</v>
      </c>
      <c r="P42" s="451">
        <v>0</v>
      </c>
      <c r="Q42" s="451">
        <v>0</v>
      </c>
      <c r="R42" s="451">
        <v>3720</v>
      </c>
      <c r="S42" s="451">
        <v>0</v>
      </c>
      <c r="T42" s="345">
        <f t="shared" si="4"/>
        <v>3720</v>
      </c>
      <c r="U42" s="334"/>
    </row>
    <row r="43" spans="2:21" ht="21" customHeight="1">
      <c r="B43" s="334"/>
      <c r="E43" s="346"/>
      <c r="F43" s="347" t="s">
        <v>210</v>
      </c>
      <c r="G43" s="452">
        <v>0</v>
      </c>
      <c r="H43" s="453">
        <v>0</v>
      </c>
      <c r="I43" s="453">
        <v>0</v>
      </c>
      <c r="J43" s="453">
        <v>0</v>
      </c>
      <c r="K43" s="453">
        <v>0</v>
      </c>
      <c r="L43" s="453">
        <v>0</v>
      </c>
      <c r="M43" s="453">
        <v>0</v>
      </c>
      <c r="N43" s="453">
        <v>0</v>
      </c>
      <c r="O43" s="453">
        <v>0</v>
      </c>
      <c r="P43" s="453">
        <v>0</v>
      </c>
      <c r="Q43" s="453">
        <v>0</v>
      </c>
      <c r="R43" s="453">
        <v>3720</v>
      </c>
      <c r="S43" s="453">
        <v>0</v>
      </c>
      <c r="T43" s="350">
        <f t="shared" si="4"/>
        <v>3720</v>
      </c>
      <c r="U43" s="334"/>
    </row>
    <row r="44" spans="2:21" ht="21" customHeight="1">
      <c r="B44" s="334"/>
      <c r="E44" s="331" t="s">
        <v>221</v>
      </c>
      <c r="F44" s="342" t="s">
        <v>209</v>
      </c>
      <c r="G44" s="450">
        <v>0</v>
      </c>
      <c r="H44" s="451">
        <v>0</v>
      </c>
      <c r="I44" s="451">
        <v>0</v>
      </c>
      <c r="J44" s="451">
        <v>0</v>
      </c>
      <c r="K44" s="451">
        <v>0</v>
      </c>
      <c r="L44" s="451">
        <v>0</v>
      </c>
      <c r="M44" s="451">
        <v>0</v>
      </c>
      <c r="N44" s="451">
        <v>87856</v>
      </c>
      <c r="O44" s="451">
        <v>0</v>
      </c>
      <c r="P44" s="451">
        <v>0</v>
      </c>
      <c r="Q44" s="451">
        <v>41000</v>
      </c>
      <c r="R44" s="451">
        <v>93480</v>
      </c>
      <c r="S44" s="451">
        <v>0</v>
      </c>
      <c r="T44" s="345">
        <f t="shared" si="4"/>
        <v>222336</v>
      </c>
      <c r="U44" s="334"/>
    </row>
    <row r="45" spans="2:21" ht="21" customHeight="1">
      <c r="B45" s="334"/>
      <c r="E45" s="346"/>
      <c r="F45" s="347" t="s">
        <v>210</v>
      </c>
      <c r="G45" s="452">
        <v>0</v>
      </c>
      <c r="H45" s="453">
        <v>0</v>
      </c>
      <c r="I45" s="453">
        <v>0</v>
      </c>
      <c r="J45" s="453">
        <v>0</v>
      </c>
      <c r="K45" s="453">
        <v>0</v>
      </c>
      <c r="L45" s="453">
        <v>0</v>
      </c>
      <c r="M45" s="453">
        <v>0</v>
      </c>
      <c r="N45" s="453">
        <v>368900</v>
      </c>
      <c r="O45" s="453">
        <v>0</v>
      </c>
      <c r="P45" s="453">
        <v>0</v>
      </c>
      <c r="Q45" s="453">
        <v>41000</v>
      </c>
      <c r="R45" s="453">
        <v>93480</v>
      </c>
      <c r="S45" s="453">
        <v>0</v>
      </c>
      <c r="T45" s="350">
        <f t="shared" si="4"/>
        <v>503380</v>
      </c>
      <c r="U45" s="334"/>
    </row>
    <row r="46" spans="2:21" ht="21" customHeight="1">
      <c r="B46" s="334"/>
      <c r="E46" s="331" t="s">
        <v>222</v>
      </c>
      <c r="F46" s="342" t="s">
        <v>209</v>
      </c>
      <c r="G46" s="450">
        <v>0</v>
      </c>
      <c r="H46" s="451">
        <v>0</v>
      </c>
      <c r="I46" s="451">
        <v>0</v>
      </c>
      <c r="J46" s="451">
        <v>0</v>
      </c>
      <c r="K46" s="451">
        <v>0</v>
      </c>
      <c r="L46" s="451">
        <v>0</v>
      </c>
      <c r="M46" s="451">
        <v>0</v>
      </c>
      <c r="N46" s="451">
        <v>0</v>
      </c>
      <c r="O46" s="451">
        <v>0</v>
      </c>
      <c r="P46" s="451">
        <v>0</v>
      </c>
      <c r="Q46" s="451">
        <v>0</v>
      </c>
      <c r="R46" s="451">
        <v>0</v>
      </c>
      <c r="S46" s="451">
        <v>0</v>
      </c>
      <c r="T46" s="345">
        <f t="shared" si="4"/>
        <v>0</v>
      </c>
      <c r="U46" s="334"/>
    </row>
    <row r="47" spans="2:21" ht="21" customHeight="1">
      <c r="B47" s="334"/>
      <c r="E47" s="346"/>
      <c r="F47" s="347" t="s">
        <v>210</v>
      </c>
      <c r="G47" s="452">
        <v>0</v>
      </c>
      <c r="H47" s="453">
        <v>0</v>
      </c>
      <c r="I47" s="453">
        <v>0</v>
      </c>
      <c r="J47" s="453">
        <v>0</v>
      </c>
      <c r="K47" s="453">
        <v>0</v>
      </c>
      <c r="L47" s="453">
        <v>0</v>
      </c>
      <c r="M47" s="453">
        <v>0</v>
      </c>
      <c r="N47" s="453">
        <v>0</v>
      </c>
      <c r="O47" s="453">
        <v>0</v>
      </c>
      <c r="P47" s="453">
        <v>0</v>
      </c>
      <c r="Q47" s="453">
        <v>0</v>
      </c>
      <c r="R47" s="453">
        <v>0</v>
      </c>
      <c r="S47" s="453">
        <v>0</v>
      </c>
      <c r="T47" s="350">
        <f t="shared" si="4"/>
        <v>0</v>
      </c>
      <c r="U47" s="334"/>
    </row>
    <row r="48" spans="2:21" ht="21" customHeight="1">
      <c r="B48" s="334"/>
      <c r="E48" s="361" t="s">
        <v>284</v>
      </c>
      <c r="F48" s="342" t="s">
        <v>209</v>
      </c>
      <c r="G48" s="450">
        <v>0</v>
      </c>
      <c r="H48" s="451">
        <v>0</v>
      </c>
      <c r="I48" s="451">
        <v>0</v>
      </c>
      <c r="J48" s="451">
        <v>0</v>
      </c>
      <c r="K48" s="451">
        <v>0</v>
      </c>
      <c r="L48" s="451">
        <v>0</v>
      </c>
      <c r="M48" s="451">
        <v>0</v>
      </c>
      <c r="N48" s="451">
        <v>0</v>
      </c>
      <c r="O48" s="451">
        <v>0</v>
      </c>
      <c r="P48" s="451">
        <v>0</v>
      </c>
      <c r="Q48" s="451">
        <v>0</v>
      </c>
      <c r="R48" s="451">
        <v>0</v>
      </c>
      <c r="S48" s="451">
        <v>0</v>
      </c>
      <c r="T48" s="345">
        <f t="shared" si="4"/>
        <v>0</v>
      </c>
      <c r="U48" s="334"/>
    </row>
    <row r="49" spans="2:21" ht="21" customHeight="1">
      <c r="B49" s="334"/>
      <c r="E49" s="346"/>
      <c r="F49" s="347" t="s">
        <v>210</v>
      </c>
      <c r="G49" s="452">
        <v>0</v>
      </c>
      <c r="H49" s="453">
        <v>0</v>
      </c>
      <c r="I49" s="453">
        <v>0</v>
      </c>
      <c r="J49" s="453">
        <v>0</v>
      </c>
      <c r="K49" s="453">
        <v>0</v>
      </c>
      <c r="L49" s="453">
        <v>0</v>
      </c>
      <c r="M49" s="453">
        <v>0</v>
      </c>
      <c r="N49" s="453">
        <v>0</v>
      </c>
      <c r="O49" s="453">
        <v>0</v>
      </c>
      <c r="P49" s="453">
        <v>0</v>
      </c>
      <c r="Q49" s="453">
        <v>0</v>
      </c>
      <c r="R49" s="453">
        <v>0</v>
      </c>
      <c r="S49" s="453">
        <v>0</v>
      </c>
      <c r="T49" s="350">
        <f t="shared" si="4"/>
        <v>0</v>
      </c>
      <c r="U49" s="334"/>
    </row>
    <row r="50" spans="2:21" ht="21" customHeight="1">
      <c r="B50" s="334"/>
      <c r="E50" s="331" t="s">
        <v>223</v>
      </c>
      <c r="F50" s="342" t="s">
        <v>209</v>
      </c>
      <c r="G50" s="450">
        <v>0</v>
      </c>
      <c r="H50" s="451">
        <v>8491</v>
      </c>
      <c r="I50" s="451">
        <v>11067</v>
      </c>
      <c r="J50" s="451">
        <v>0</v>
      </c>
      <c r="K50" s="451">
        <v>37013</v>
      </c>
      <c r="L50" s="451">
        <v>0</v>
      </c>
      <c r="M50" s="451">
        <v>0</v>
      </c>
      <c r="N50" s="451">
        <v>0</v>
      </c>
      <c r="O50" s="451">
        <v>1496</v>
      </c>
      <c r="P50" s="451">
        <v>0</v>
      </c>
      <c r="Q50" s="451">
        <v>8221</v>
      </c>
      <c r="R50" s="451">
        <v>7638</v>
      </c>
      <c r="S50" s="451">
        <v>0</v>
      </c>
      <c r="T50" s="345">
        <f t="shared" si="4"/>
        <v>73926</v>
      </c>
      <c r="U50" s="334"/>
    </row>
    <row r="51" spans="2:21" ht="21" customHeight="1" thickBot="1">
      <c r="B51" s="335"/>
      <c r="C51" s="332"/>
      <c r="D51" s="332"/>
      <c r="E51" s="332"/>
      <c r="F51" s="365" t="s">
        <v>210</v>
      </c>
      <c r="G51" s="366">
        <v>0</v>
      </c>
      <c r="H51" s="367">
        <v>8491</v>
      </c>
      <c r="I51" s="367">
        <v>11067</v>
      </c>
      <c r="J51" s="367">
        <v>0</v>
      </c>
      <c r="K51" s="367">
        <v>37013</v>
      </c>
      <c r="L51" s="367">
        <v>0</v>
      </c>
      <c r="M51" s="367">
        <v>0</v>
      </c>
      <c r="N51" s="367">
        <v>0</v>
      </c>
      <c r="O51" s="367">
        <v>1496</v>
      </c>
      <c r="P51" s="367">
        <v>0</v>
      </c>
      <c r="Q51" s="367">
        <v>8221</v>
      </c>
      <c r="R51" s="367">
        <v>7638</v>
      </c>
      <c r="S51" s="367">
        <v>0</v>
      </c>
      <c r="T51" s="368">
        <f t="shared" si="4"/>
        <v>73926</v>
      </c>
      <c r="U51" s="334"/>
    </row>
    <row r="54" spans="18:20" ht="17.25">
      <c r="R54" s="440" t="s">
        <v>489</v>
      </c>
      <c r="S54" s="440" t="s">
        <v>491</v>
      </c>
      <c r="T54" s="441">
        <f>T11+T19+T38+'08繰入金(2)'!T19</f>
        <v>3618152</v>
      </c>
    </row>
    <row r="55" spans="19:20" ht="17.25">
      <c r="S55" s="440" t="s">
        <v>492</v>
      </c>
      <c r="T55" s="441">
        <f>T12+T20+T39+'08繰入金(2)'!T20</f>
        <v>4482376</v>
      </c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view="pageBreakPreview" zoomScale="65" zoomScaleNormal="65" zoomScaleSheetLayoutView="6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374" customWidth="1"/>
    <col min="2" max="4" width="2.66015625" style="374" customWidth="1"/>
    <col min="5" max="5" width="18.66015625" style="374" customWidth="1"/>
    <col min="6" max="6" width="10.66015625" style="374" customWidth="1"/>
    <col min="7" max="19" width="12" style="374" customWidth="1"/>
    <col min="20" max="20" width="13.16015625" style="374" customWidth="1"/>
    <col min="21" max="21" width="1.66015625" style="374" customWidth="1"/>
    <col min="22" max="22" width="2.66015625" style="374" customWidth="1"/>
    <col min="23" max="16384" width="8.66015625" style="374" customWidth="1"/>
  </cols>
  <sheetData>
    <row r="1" spans="1:21" ht="21" customHeight="1">
      <c r="A1" s="369"/>
      <c r="B1" s="375" t="s">
        <v>0</v>
      </c>
      <c r="C1" s="376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1:21" ht="21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21" customHeight="1" thickBot="1">
      <c r="A3" s="369"/>
      <c r="B3" s="377" t="s">
        <v>224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 t="s">
        <v>136</v>
      </c>
      <c r="U3" s="369"/>
    </row>
    <row r="4" spans="1:21" ht="21" customHeight="1">
      <c r="A4" s="369"/>
      <c r="B4" s="379"/>
      <c r="C4" s="380"/>
      <c r="D4" s="380"/>
      <c r="E4" s="380"/>
      <c r="F4" s="380"/>
      <c r="G4" s="31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26"/>
      <c r="U4" s="381"/>
    </row>
    <row r="5" spans="1:21" ht="21" customHeight="1">
      <c r="A5" s="369"/>
      <c r="B5" s="379"/>
      <c r="C5" s="380"/>
      <c r="D5" s="380"/>
      <c r="E5" s="380" t="s">
        <v>196</v>
      </c>
      <c r="F5" s="380"/>
      <c r="G5" s="317" t="s">
        <v>3</v>
      </c>
      <c r="H5" s="318" t="s">
        <v>4</v>
      </c>
      <c r="I5" s="318" t="s">
        <v>5</v>
      </c>
      <c r="J5" s="318" t="s">
        <v>6</v>
      </c>
      <c r="K5" s="318" t="s">
        <v>7</v>
      </c>
      <c r="L5" s="318" t="s">
        <v>8</v>
      </c>
      <c r="M5" s="318" t="s">
        <v>9</v>
      </c>
      <c r="N5" s="318" t="s">
        <v>240</v>
      </c>
      <c r="O5" s="318" t="s">
        <v>241</v>
      </c>
      <c r="P5" s="318" t="s">
        <v>242</v>
      </c>
      <c r="Q5" s="318" t="s">
        <v>10</v>
      </c>
      <c r="R5" s="318" t="s">
        <v>243</v>
      </c>
      <c r="S5" s="318" t="s">
        <v>11</v>
      </c>
      <c r="T5" s="326"/>
      <c r="U5" s="381"/>
    </row>
    <row r="6" spans="1:21" ht="21" customHeight="1">
      <c r="A6" s="369"/>
      <c r="B6" s="379"/>
      <c r="C6" s="380"/>
      <c r="D6" s="380"/>
      <c r="E6" s="380"/>
      <c r="F6" s="380"/>
      <c r="G6" s="315"/>
      <c r="H6" s="77"/>
      <c r="I6" s="77"/>
      <c r="J6" s="462" t="s">
        <v>494</v>
      </c>
      <c r="K6" s="77"/>
      <c r="L6" s="77"/>
      <c r="M6" s="77"/>
      <c r="N6" s="77"/>
      <c r="O6" s="77"/>
      <c r="P6" s="77"/>
      <c r="Q6" s="77"/>
      <c r="R6" s="77"/>
      <c r="S6" s="77"/>
      <c r="T6" s="327" t="s">
        <v>12</v>
      </c>
      <c r="U6" s="381"/>
    </row>
    <row r="7" spans="1:21" ht="21" customHeight="1">
      <c r="A7" s="369"/>
      <c r="B7" s="379"/>
      <c r="C7" s="380"/>
      <c r="D7" s="380" t="s">
        <v>59</v>
      </c>
      <c r="E7" s="380"/>
      <c r="F7" s="380"/>
      <c r="G7" s="315" t="s">
        <v>357</v>
      </c>
      <c r="H7" s="77" t="s">
        <v>357</v>
      </c>
      <c r="I7" s="77"/>
      <c r="J7" s="463"/>
      <c r="K7" s="77"/>
      <c r="L7" s="77"/>
      <c r="M7" s="77" t="s">
        <v>357</v>
      </c>
      <c r="N7" s="77" t="s">
        <v>358</v>
      </c>
      <c r="O7" s="77" t="s">
        <v>359</v>
      </c>
      <c r="P7" s="77" t="s">
        <v>14</v>
      </c>
      <c r="Q7" s="77" t="s">
        <v>14</v>
      </c>
      <c r="R7" s="77" t="s">
        <v>360</v>
      </c>
      <c r="S7" s="77"/>
      <c r="T7" s="328"/>
      <c r="U7" s="381"/>
    </row>
    <row r="8" spans="1:21" ht="21" customHeight="1" thickBot="1">
      <c r="A8" s="369"/>
      <c r="B8" s="382"/>
      <c r="C8" s="383"/>
      <c r="D8" s="383"/>
      <c r="E8" s="383"/>
      <c r="F8" s="384"/>
      <c r="G8" s="118" t="s">
        <v>361</v>
      </c>
      <c r="H8" s="81" t="s">
        <v>362</v>
      </c>
      <c r="I8" s="81" t="s">
        <v>15</v>
      </c>
      <c r="J8" s="81" t="s">
        <v>16</v>
      </c>
      <c r="K8" s="81" t="s">
        <v>321</v>
      </c>
      <c r="L8" s="81" t="s">
        <v>390</v>
      </c>
      <c r="M8" s="81" t="s">
        <v>18</v>
      </c>
      <c r="N8" s="81" t="s">
        <v>320</v>
      </c>
      <c r="O8" s="81" t="s">
        <v>339</v>
      </c>
      <c r="P8" s="81" t="s">
        <v>60</v>
      </c>
      <c r="Q8" s="81" t="s">
        <v>61</v>
      </c>
      <c r="R8" s="81" t="s">
        <v>246</v>
      </c>
      <c r="S8" s="81" t="s">
        <v>19</v>
      </c>
      <c r="T8" s="329"/>
      <c r="U8" s="381"/>
    </row>
    <row r="9" spans="2:21" s="331" customFormat="1" ht="21" customHeight="1">
      <c r="B9" s="385"/>
      <c r="C9" s="386"/>
      <c r="D9" s="386"/>
      <c r="E9" s="387" t="s">
        <v>237</v>
      </c>
      <c r="F9" s="388" t="s">
        <v>209</v>
      </c>
      <c r="G9" s="389">
        <v>0</v>
      </c>
      <c r="H9" s="390">
        <v>0</v>
      </c>
      <c r="I9" s="390">
        <v>0</v>
      </c>
      <c r="J9" s="390">
        <v>0</v>
      </c>
      <c r="K9" s="390">
        <v>113131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0">
        <v>0</v>
      </c>
      <c r="R9" s="390">
        <v>0</v>
      </c>
      <c r="S9" s="390">
        <v>0</v>
      </c>
      <c r="T9" s="391">
        <f>SUM(G9:S9)</f>
        <v>113131</v>
      </c>
      <c r="U9" s="334"/>
    </row>
    <row r="10" spans="2:21" s="331" customFormat="1" ht="21" customHeight="1">
      <c r="B10" s="334"/>
      <c r="C10" s="392"/>
      <c r="D10" s="392"/>
      <c r="E10" s="346"/>
      <c r="F10" s="347" t="s">
        <v>210</v>
      </c>
      <c r="G10" s="360">
        <v>713</v>
      </c>
      <c r="H10" s="350">
        <v>0</v>
      </c>
      <c r="I10" s="350">
        <v>0</v>
      </c>
      <c r="J10" s="350">
        <v>0</v>
      </c>
      <c r="K10" s="350">
        <v>113488</v>
      </c>
      <c r="L10" s="350">
        <v>0</v>
      </c>
      <c r="M10" s="350">
        <v>0</v>
      </c>
      <c r="N10" s="350">
        <v>0</v>
      </c>
      <c r="O10" s="350">
        <v>0</v>
      </c>
      <c r="P10" s="350">
        <v>0</v>
      </c>
      <c r="Q10" s="350">
        <v>0</v>
      </c>
      <c r="R10" s="350">
        <v>0</v>
      </c>
      <c r="S10" s="350">
        <v>0</v>
      </c>
      <c r="T10" s="393">
        <f>SUM(G10:S10)</f>
        <v>114201</v>
      </c>
      <c r="U10" s="334"/>
    </row>
    <row r="11" spans="1:21" ht="21" customHeight="1">
      <c r="A11" s="369"/>
      <c r="B11" s="394"/>
      <c r="C11" s="395"/>
      <c r="D11" s="396"/>
      <c r="E11" s="396" t="s">
        <v>225</v>
      </c>
      <c r="F11" s="397" t="s">
        <v>209</v>
      </c>
      <c r="G11" s="398">
        <v>0</v>
      </c>
      <c r="H11" s="399">
        <v>0</v>
      </c>
      <c r="I11" s="399">
        <v>0</v>
      </c>
      <c r="J11" s="399">
        <v>0</v>
      </c>
      <c r="K11" s="399">
        <v>0</v>
      </c>
      <c r="L11" s="399"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4425</v>
      </c>
      <c r="S11" s="399">
        <v>0</v>
      </c>
      <c r="T11" s="400">
        <f aca="true" t="shared" si="0" ref="T11:T16">SUM(G11:S11)</f>
        <v>4425</v>
      </c>
      <c r="U11" s="373"/>
    </row>
    <row r="12" spans="1:21" ht="21" customHeight="1">
      <c r="A12" s="369"/>
      <c r="B12" s="394"/>
      <c r="C12" s="395"/>
      <c r="D12" s="396"/>
      <c r="E12" s="401"/>
      <c r="F12" s="402" t="s">
        <v>210</v>
      </c>
      <c r="G12" s="403">
        <v>0</v>
      </c>
      <c r="H12" s="404">
        <v>0</v>
      </c>
      <c r="I12" s="404">
        <v>0</v>
      </c>
      <c r="J12" s="404">
        <v>0</v>
      </c>
      <c r="K12" s="404">
        <v>0</v>
      </c>
      <c r="L12" s="404">
        <v>0</v>
      </c>
      <c r="M12" s="404">
        <v>0</v>
      </c>
      <c r="N12" s="404">
        <v>0</v>
      </c>
      <c r="O12" s="404">
        <v>0</v>
      </c>
      <c r="P12" s="404">
        <v>0</v>
      </c>
      <c r="Q12" s="404">
        <v>0</v>
      </c>
      <c r="R12" s="404">
        <v>4425</v>
      </c>
      <c r="S12" s="404">
        <v>0</v>
      </c>
      <c r="T12" s="405">
        <f t="shared" si="0"/>
        <v>4425</v>
      </c>
      <c r="U12" s="373"/>
    </row>
    <row r="13" spans="1:21" ht="21" customHeight="1">
      <c r="A13" s="369"/>
      <c r="B13" s="394"/>
      <c r="C13" s="395"/>
      <c r="D13" s="396"/>
      <c r="E13" s="396" t="s">
        <v>226</v>
      </c>
      <c r="F13" s="397" t="s">
        <v>209</v>
      </c>
      <c r="G13" s="398">
        <v>0</v>
      </c>
      <c r="H13" s="399">
        <v>27451</v>
      </c>
      <c r="I13" s="399">
        <v>3195</v>
      </c>
      <c r="J13" s="399">
        <v>44483</v>
      </c>
      <c r="K13" s="399">
        <v>30559</v>
      </c>
      <c r="L13" s="399">
        <v>107152</v>
      </c>
      <c r="M13" s="399">
        <v>2651</v>
      </c>
      <c r="N13" s="399">
        <v>0</v>
      </c>
      <c r="O13" s="399">
        <v>0</v>
      </c>
      <c r="P13" s="399">
        <v>0</v>
      </c>
      <c r="Q13" s="399">
        <v>12350</v>
      </c>
      <c r="R13" s="399">
        <v>4158</v>
      </c>
      <c r="S13" s="399">
        <v>0</v>
      </c>
      <c r="T13" s="400">
        <f t="shared" si="0"/>
        <v>231999</v>
      </c>
      <c r="U13" s="373"/>
    </row>
    <row r="14" spans="1:21" ht="21" customHeight="1">
      <c r="A14" s="369"/>
      <c r="B14" s="394"/>
      <c r="C14" s="395"/>
      <c r="D14" s="396"/>
      <c r="E14" s="401"/>
      <c r="F14" s="402" t="s">
        <v>210</v>
      </c>
      <c r="G14" s="403">
        <v>0</v>
      </c>
      <c r="H14" s="404">
        <v>301043</v>
      </c>
      <c r="I14" s="404">
        <v>3195</v>
      </c>
      <c r="J14" s="404">
        <v>44483</v>
      </c>
      <c r="K14" s="404">
        <v>30559</v>
      </c>
      <c r="L14" s="404">
        <v>21050</v>
      </c>
      <c r="M14" s="404">
        <v>2651</v>
      </c>
      <c r="N14" s="404">
        <v>0</v>
      </c>
      <c r="O14" s="404">
        <v>0</v>
      </c>
      <c r="P14" s="404">
        <v>0</v>
      </c>
      <c r="Q14" s="404">
        <v>12350</v>
      </c>
      <c r="R14" s="404">
        <v>4158</v>
      </c>
      <c r="S14" s="404">
        <v>0</v>
      </c>
      <c r="T14" s="405">
        <f t="shared" si="0"/>
        <v>419489</v>
      </c>
      <c r="U14" s="373"/>
    </row>
    <row r="15" spans="1:21" ht="21" customHeight="1">
      <c r="A15" s="369"/>
      <c r="B15" s="394"/>
      <c r="C15" s="395"/>
      <c r="D15" s="396"/>
      <c r="E15" s="406" t="s">
        <v>239</v>
      </c>
      <c r="F15" s="397" t="s">
        <v>209</v>
      </c>
      <c r="G15" s="398">
        <v>0</v>
      </c>
      <c r="H15" s="399">
        <v>0</v>
      </c>
      <c r="I15" s="399">
        <v>0</v>
      </c>
      <c r="J15" s="399">
        <v>6202</v>
      </c>
      <c r="K15" s="399">
        <v>51837</v>
      </c>
      <c r="L15" s="399"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0</v>
      </c>
      <c r="S15" s="399">
        <v>0</v>
      </c>
      <c r="T15" s="400">
        <f t="shared" si="0"/>
        <v>58039</v>
      </c>
      <c r="U15" s="373"/>
    </row>
    <row r="16" spans="1:21" ht="21" customHeight="1">
      <c r="A16" s="369"/>
      <c r="B16" s="394"/>
      <c r="C16" s="395"/>
      <c r="D16" s="396"/>
      <c r="E16" s="401"/>
      <c r="F16" s="402" t="s">
        <v>210</v>
      </c>
      <c r="G16" s="403">
        <v>0</v>
      </c>
      <c r="H16" s="404">
        <v>0</v>
      </c>
      <c r="I16" s="404">
        <v>0</v>
      </c>
      <c r="J16" s="404">
        <v>6202</v>
      </c>
      <c r="K16" s="404">
        <v>51837</v>
      </c>
      <c r="L16" s="404">
        <v>0</v>
      </c>
      <c r="M16" s="404">
        <v>0</v>
      </c>
      <c r="N16" s="404">
        <v>0</v>
      </c>
      <c r="O16" s="404">
        <v>0</v>
      </c>
      <c r="P16" s="404">
        <v>0</v>
      </c>
      <c r="Q16" s="404">
        <v>0</v>
      </c>
      <c r="R16" s="404">
        <v>0</v>
      </c>
      <c r="S16" s="404">
        <v>0</v>
      </c>
      <c r="T16" s="405">
        <f t="shared" si="0"/>
        <v>58039</v>
      </c>
      <c r="U16" s="373"/>
    </row>
    <row r="17" spans="1:21" ht="21" customHeight="1">
      <c r="A17" s="369"/>
      <c r="B17" s="407"/>
      <c r="C17" s="401"/>
      <c r="D17" s="401"/>
      <c r="E17" s="401" t="s">
        <v>193</v>
      </c>
      <c r="F17" s="402" t="s">
        <v>210</v>
      </c>
      <c r="G17" s="403">
        <v>0</v>
      </c>
      <c r="H17" s="404">
        <v>0</v>
      </c>
      <c r="I17" s="404">
        <v>56578</v>
      </c>
      <c r="J17" s="404">
        <v>183316</v>
      </c>
      <c r="K17" s="404">
        <v>39067</v>
      </c>
      <c r="L17" s="404">
        <v>0</v>
      </c>
      <c r="M17" s="404">
        <v>0</v>
      </c>
      <c r="N17" s="404">
        <v>22263</v>
      </c>
      <c r="O17" s="404">
        <v>0</v>
      </c>
      <c r="P17" s="404">
        <v>6338</v>
      </c>
      <c r="Q17" s="404">
        <v>845</v>
      </c>
      <c r="R17" s="404">
        <v>0</v>
      </c>
      <c r="S17" s="404">
        <v>0</v>
      </c>
      <c r="T17" s="405">
        <f aca="true" t="shared" si="1" ref="T17:T50">SUM(G17:S17)</f>
        <v>308407</v>
      </c>
      <c r="U17" s="373"/>
    </row>
    <row r="18" spans="1:21" ht="21" customHeight="1">
      <c r="A18" s="369"/>
      <c r="B18" s="394"/>
      <c r="C18" s="408" t="s">
        <v>227</v>
      </c>
      <c r="D18" s="396"/>
      <c r="E18" s="396"/>
      <c r="F18" s="396"/>
      <c r="G18" s="409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1">
        <f t="shared" si="1"/>
        <v>0</v>
      </c>
      <c r="U18" s="373"/>
    </row>
    <row r="19" spans="1:21" ht="21" customHeight="1">
      <c r="A19" s="369"/>
      <c r="B19" s="394"/>
      <c r="C19" s="395"/>
      <c r="D19" s="396" t="s">
        <v>228</v>
      </c>
      <c r="E19" s="396"/>
      <c r="F19" s="397" t="s">
        <v>209</v>
      </c>
      <c r="G19" s="398">
        <f>G21</f>
        <v>0</v>
      </c>
      <c r="H19" s="400">
        <f aca="true" t="shared" si="2" ref="H19:R19">H21</f>
        <v>0</v>
      </c>
      <c r="I19" s="400">
        <f t="shared" si="2"/>
        <v>0</v>
      </c>
      <c r="J19" s="400">
        <f t="shared" si="2"/>
        <v>0</v>
      </c>
      <c r="K19" s="400">
        <f t="shared" si="2"/>
        <v>0</v>
      </c>
      <c r="L19" s="400">
        <f t="shared" si="2"/>
        <v>0</v>
      </c>
      <c r="M19" s="400">
        <f t="shared" si="2"/>
        <v>0</v>
      </c>
      <c r="N19" s="400">
        <f t="shared" si="2"/>
        <v>0</v>
      </c>
      <c r="O19" s="400">
        <f t="shared" si="2"/>
        <v>0</v>
      </c>
      <c r="P19" s="400">
        <f t="shared" si="2"/>
        <v>0</v>
      </c>
      <c r="Q19" s="400">
        <f t="shared" si="2"/>
        <v>0</v>
      </c>
      <c r="R19" s="400">
        <f t="shared" si="2"/>
        <v>0</v>
      </c>
      <c r="S19" s="400">
        <f>S21</f>
        <v>0</v>
      </c>
      <c r="T19" s="400">
        <f t="shared" si="1"/>
        <v>0</v>
      </c>
      <c r="U19" s="373"/>
    </row>
    <row r="20" spans="1:21" ht="21" customHeight="1">
      <c r="A20" s="369"/>
      <c r="B20" s="394"/>
      <c r="C20" s="395"/>
      <c r="D20" s="396"/>
      <c r="E20" s="401"/>
      <c r="F20" s="402" t="s">
        <v>210</v>
      </c>
      <c r="G20" s="403">
        <f>G22+G23</f>
        <v>0</v>
      </c>
      <c r="H20" s="405">
        <f aca="true" t="shared" si="3" ref="H20:R20">H22+H23</f>
        <v>0</v>
      </c>
      <c r="I20" s="405">
        <f t="shared" si="3"/>
        <v>0</v>
      </c>
      <c r="J20" s="405">
        <f t="shared" si="3"/>
        <v>0</v>
      </c>
      <c r="K20" s="405">
        <f t="shared" si="3"/>
        <v>0</v>
      </c>
      <c r="L20" s="405">
        <f t="shared" si="3"/>
        <v>0</v>
      </c>
      <c r="M20" s="405">
        <f t="shared" si="3"/>
        <v>0</v>
      </c>
      <c r="N20" s="405">
        <f t="shared" si="3"/>
        <v>0</v>
      </c>
      <c r="O20" s="405">
        <f t="shared" si="3"/>
        <v>0</v>
      </c>
      <c r="P20" s="405">
        <f t="shared" si="3"/>
        <v>0</v>
      </c>
      <c r="Q20" s="405">
        <f t="shared" si="3"/>
        <v>0</v>
      </c>
      <c r="R20" s="405">
        <f t="shared" si="3"/>
        <v>0</v>
      </c>
      <c r="S20" s="405">
        <f>S22+S23</f>
        <v>0</v>
      </c>
      <c r="T20" s="405">
        <f t="shared" si="1"/>
        <v>0</v>
      </c>
      <c r="U20" s="373"/>
    </row>
    <row r="21" spans="1:21" ht="21" customHeight="1">
      <c r="A21" s="369"/>
      <c r="B21" s="394"/>
      <c r="C21" s="395"/>
      <c r="D21" s="396"/>
      <c r="E21" s="406" t="s">
        <v>503</v>
      </c>
      <c r="F21" s="397" t="s">
        <v>209</v>
      </c>
      <c r="G21" s="398">
        <v>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  <c r="S21" s="400">
        <v>0</v>
      </c>
      <c r="T21" s="400">
        <f>SUM(G21:S21)</f>
        <v>0</v>
      </c>
      <c r="U21" s="373"/>
    </row>
    <row r="22" spans="1:21" ht="21" customHeight="1">
      <c r="A22" s="369"/>
      <c r="B22" s="394"/>
      <c r="C22" s="395"/>
      <c r="D22" s="396"/>
      <c r="E22" s="412" t="s">
        <v>505</v>
      </c>
      <c r="F22" s="402" t="s">
        <v>210</v>
      </c>
      <c r="G22" s="403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05">
        <v>0</v>
      </c>
      <c r="T22" s="405">
        <f t="shared" si="1"/>
        <v>0</v>
      </c>
      <c r="U22" s="373"/>
    </row>
    <row r="23" spans="1:21" ht="21" customHeight="1">
      <c r="A23" s="369"/>
      <c r="B23" s="407"/>
      <c r="C23" s="401"/>
      <c r="D23" s="401"/>
      <c r="E23" s="401" t="s">
        <v>193</v>
      </c>
      <c r="F23" s="402" t="s">
        <v>210</v>
      </c>
      <c r="G23" s="403">
        <v>0</v>
      </c>
      <c r="H23" s="405">
        <v>0</v>
      </c>
      <c r="I23" s="405">
        <v>0</v>
      </c>
      <c r="J23" s="405">
        <v>0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05">
        <v>0</v>
      </c>
      <c r="T23" s="405">
        <f t="shared" si="1"/>
        <v>0</v>
      </c>
      <c r="U23" s="373"/>
    </row>
    <row r="24" spans="1:21" ht="21" customHeight="1">
      <c r="A24" s="369"/>
      <c r="B24" s="394" t="s">
        <v>229</v>
      </c>
      <c r="C24" s="395"/>
      <c r="D24" s="396"/>
      <c r="E24" s="396"/>
      <c r="F24" s="396"/>
      <c r="G24" s="409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1">
        <f t="shared" si="1"/>
        <v>0</v>
      </c>
      <c r="U24" s="373"/>
    </row>
    <row r="25" spans="1:21" ht="21" customHeight="1">
      <c r="A25" s="369"/>
      <c r="B25" s="394"/>
      <c r="C25" s="395"/>
      <c r="D25" s="396" t="s">
        <v>230</v>
      </c>
      <c r="E25" s="396"/>
      <c r="F25" s="397" t="s">
        <v>209</v>
      </c>
      <c r="G25" s="398">
        <f>G27+G29+G31</f>
        <v>541964</v>
      </c>
      <c r="H25" s="400">
        <f aca="true" t="shared" si="4" ref="H25:S25">H27+H29+H31</f>
        <v>0</v>
      </c>
      <c r="I25" s="400">
        <f t="shared" si="4"/>
        <v>281160</v>
      </c>
      <c r="J25" s="400">
        <f t="shared" si="4"/>
        <v>25629</v>
      </c>
      <c r="K25" s="400">
        <f t="shared" si="4"/>
        <v>289682</v>
      </c>
      <c r="L25" s="400">
        <f t="shared" si="4"/>
        <v>0</v>
      </c>
      <c r="M25" s="400">
        <f t="shared" si="4"/>
        <v>48477</v>
      </c>
      <c r="N25" s="400">
        <f t="shared" si="4"/>
        <v>0</v>
      </c>
      <c r="O25" s="400">
        <f t="shared" si="4"/>
        <v>0</v>
      </c>
      <c r="P25" s="400">
        <f t="shared" si="4"/>
        <v>0</v>
      </c>
      <c r="Q25" s="400">
        <f t="shared" si="4"/>
        <v>0</v>
      </c>
      <c r="R25" s="400">
        <f t="shared" si="4"/>
        <v>0</v>
      </c>
      <c r="S25" s="400">
        <f t="shared" si="4"/>
        <v>0</v>
      </c>
      <c r="T25" s="400">
        <f t="shared" si="1"/>
        <v>1186912</v>
      </c>
      <c r="U25" s="373"/>
    </row>
    <row r="26" spans="1:21" ht="21" customHeight="1">
      <c r="A26" s="369"/>
      <c r="B26" s="394"/>
      <c r="C26" s="395"/>
      <c r="D26" s="396"/>
      <c r="E26" s="401"/>
      <c r="F26" s="402" t="s">
        <v>210</v>
      </c>
      <c r="G26" s="403">
        <f>G28+G30+G32+G33</f>
        <v>483348</v>
      </c>
      <c r="H26" s="405">
        <f aca="true" t="shared" si="5" ref="H26:S26">H28+H30+H32+H33</f>
        <v>0</v>
      </c>
      <c r="I26" s="405">
        <f t="shared" si="5"/>
        <v>281160</v>
      </c>
      <c r="J26" s="405">
        <f t="shared" si="5"/>
        <v>47362</v>
      </c>
      <c r="K26" s="405">
        <f t="shared" si="5"/>
        <v>289682</v>
      </c>
      <c r="L26" s="405">
        <f t="shared" si="5"/>
        <v>0</v>
      </c>
      <c r="M26" s="405">
        <f t="shared" si="5"/>
        <v>27559</v>
      </c>
      <c r="N26" s="405">
        <f t="shared" si="5"/>
        <v>0</v>
      </c>
      <c r="O26" s="405">
        <f t="shared" si="5"/>
        <v>0</v>
      </c>
      <c r="P26" s="405">
        <f t="shared" si="5"/>
        <v>0</v>
      </c>
      <c r="Q26" s="405">
        <f t="shared" si="5"/>
        <v>0</v>
      </c>
      <c r="R26" s="405">
        <f t="shared" si="5"/>
        <v>0</v>
      </c>
      <c r="S26" s="405">
        <f t="shared" si="5"/>
        <v>0</v>
      </c>
      <c r="T26" s="405">
        <f t="shared" si="1"/>
        <v>1129111</v>
      </c>
      <c r="U26" s="373"/>
    </row>
    <row r="27" spans="1:21" ht="21" customHeight="1">
      <c r="A27" s="369"/>
      <c r="B27" s="394"/>
      <c r="C27" s="395"/>
      <c r="D27" s="396"/>
      <c r="E27" s="396" t="s">
        <v>219</v>
      </c>
      <c r="F27" s="397" t="s">
        <v>209</v>
      </c>
      <c r="G27" s="398">
        <v>427911</v>
      </c>
      <c r="H27" s="400">
        <v>0</v>
      </c>
      <c r="I27" s="400">
        <v>281160</v>
      </c>
      <c r="J27" s="400">
        <v>24715</v>
      </c>
      <c r="K27" s="400">
        <v>289682</v>
      </c>
      <c r="L27" s="400">
        <v>0</v>
      </c>
      <c r="M27" s="400">
        <v>27559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  <c r="S27" s="400">
        <v>0</v>
      </c>
      <c r="T27" s="400">
        <f t="shared" si="1"/>
        <v>1051027</v>
      </c>
      <c r="U27" s="373"/>
    </row>
    <row r="28" spans="1:21" ht="21" customHeight="1">
      <c r="A28" s="369"/>
      <c r="B28" s="394"/>
      <c r="C28" s="395"/>
      <c r="D28" s="396"/>
      <c r="E28" s="412" t="s">
        <v>485</v>
      </c>
      <c r="F28" s="402" t="s">
        <v>210</v>
      </c>
      <c r="G28" s="403">
        <v>427911</v>
      </c>
      <c r="H28" s="405">
        <v>0</v>
      </c>
      <c r="I28" s="405">
        <v>281160</v>
      </c>
      <c r="J28" s="405">
        <v>43135</v>
      </c>
      <c r="K28" s="405">
        <v>289682</v>
      </c>
      <c r="L28" s="405">
        <v>0</v>
      </c>
      <c r="M28" s="405">
        <v>27559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05">
        <v>0</v>
      </c>
      <c r="T28" s="405">
        <f t="shared" si="1"/>
        <v>1069447</v>
      </c>
      <c r="U28" s="373"/>
    </row>
    <row r="29" spans="1:21" ht="21" customHeight="1">
      <c r="A29" s="369"/>
      <c r="B29" s="394"/>
      <c r="C29" s="395"/>
      <c r="D29" s="396"/>
      <c r="E29" s="396" t="s">
        <v>219</v>
      </c>
      <c r="F29" s="397" t="s">
        <v>209</v>
      </c>
      <c r="G29" s="398">
        <v>114053</v>
      </c>
      <c r="H29" s="400">
        <v>0</v>
      </c>
      <c r="I29" s="400">
        <v>0</v>
      </c>
      <c r="J29" s="400">
        <v>914</v>
      </c>
      <c r="K29" s="400">
        <v>0</v>
      </c>
      <c r="L29" s="400">
        <v>0</v>
      </c>
      <c r="M29" s="400">
        <v>20918</v>
      </c>
      <c r="N29" s="400">
        <v>0</v>
      </c>
      <c r="O29" s="400">
        <v>0</v>
      </c>
      <c r="P29" s="400">
        <v>0</v>
      </c>
      <c r="Q29" s="400">
        <v>0</v>
      </c>
      <c r="R29" s="400">
        <v>0</v>
      </c>
      <c r="S29" s="400">
        <v>0</v>
      </c>
      <c r="T29" s="400">
        <f t="shared" si="1"/>
        <v>135885</v>
      </c>
      <c r="U29" s="373"/>
    </row>
    <row r="30" spans="1:21" ht="21" customHeight="1">
      <c r="A30" s="369"/>
      <c r="B30" s="394"/>
      <c r="C30" s="395"/>
      <c r="D30" s="396"/>
      <c r="E30" s="413" t="s">
        <v>231</v>
      </c>
      <c r="F30" s="402" t="s">
        <v>210</v>
      </c>
      <c r="G30" s="403">
        <v>55437</v>
      </c>
      <c r="H30" s="405">
        <v>0</v>
      </c>
      <c r="I30" s="405">
        <v>0</v>
      </c>
      <c r="J30" s="405">
        <v>1827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405">
        <v>0</v>
      </c>
      <c r="T30" s="405">
        <f t="shared" si="1"/>
        <v>57264</v>
      </c>
      <c r="U30" s="373"/>
    </row>
    <row r="31" spans="1:21" ht="21" customHeight="1">
      <c r="A31" s="369"/>
      <c r="B31" s="394"/>
      <c r="C31" s="395"/>
      <c r="D31" s="396"/>
      <c r="E31" s="414" t="s">
        <v>503</v>
      </c>
      <c r="F31" s="397" t="s">
        <v>209</v>
      </c>
      <c r="G31" s="398">
        <v>0</v>
      </c>
      <c r="H31" s="400">
        <v>0</v>
      </c>
      <c r="I31" s="400">
        <v>0</v>
      </c>
      <c r="J31" s="400">
        <v>0</v>
      </c>
      <c r="K31" s="400">
        <v>0</v>
      </c>
      <c r="L31" s="400">
        <v>0</v>
      </c>
      <c r="M31" s="400">
        <v>0</v>
      </c>
      <c r="N31" s="400">
        <v>0</v>
      </c>
      <c r="O31" s="400">
        <v>0</v>
      </c>
      <c r="P31" s="400">
        <v>0</v>
      </c>
      <c r="Q31" s="400">
        <v>0</v>
      </c>
      <c r="R31" s="400">
        <v>0</v>
      </c>
      <c r="S31" s="400">
        <v>0</v>
      </c>
      <c r="T31" s="400">
        <f>SUM(G31:S31)</f>
        <v>0</v>
      </c>
      <c r="U31" s="373"/>
    </row>
    <row r="32" spans="1:21" ht="21" customHeight="1">
      <c r="A32" s="369"/>
      <c r="B32" s="394"/>
      <c r="C32" s="395"/>
      <c r="D32" s="396"/>
      <c r="E32" s="412" t="s">
        <v>505</v>
      </c>
      <c r="F32" s="402" t="s">
        <v>210</v>
      </c>
      <c r="G32" s="403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405">
        <v>0</v>
      </c>
      <c r="T32" s="405">
        <f>SUM(G32:S32)</f>
        <v>0</v>
      </c>
      <c r="U32" s="373"/>
    </row>
    <row r="33" spans="1:21" ht="21" customHeight="1">
      <c r="A33" s="369"/>
      <c r="B33" s="394"/>
      <c r="C33" s="395"/>
      <c r="D33" s="401"/>
      <c r="E33" s="401" t="s">
        <v>193</v>
      </c>
      <c r="F33" s="402" t="s">
        <v>210</v>
      </c>
      <c r="G33" s="403">
        <v>0</v>
      </c>
      <c r="H33" s="405">
        <v>0</v>
      </c>
      <c r="I33" s="405">
        <v>0</v>
      </c>
      <c r="J33" s="405">
        <v>2400</v>
      </c>
      <c r="K33" s="405"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405">
        <v>0</v>
      </c>
      <c r="T33" s="405">
        <f t="shared" si="1"/>
        <v>2400</v>
      </c>
      <c r="U33" s="373"/>
    </row>
    <row r="34" spans="1:21" ht="21" customHeight="1">
      <c r="A34" s="369"/>
      <c r="B34" s="394"/>
      <c r="C34" s="395"/>
      <c r="D34" s="396" t="s">
        <v>208</v>
      </c>
      <c r="E34" s="396"/>
      <c r="F34" s="397" t="s">
        <v>209</v>
      </c>
      <c r="G34" s="398">
        <f>G36+G38</f>
        <v>0</v>
      </c>
      <c r="H34" s="400">
        <f aca="true" t="shared" si="6" ref="H34:S34">H36+H38</f>
        <v>106651</v>
      </c>
      <c r="I34" s="400">
        <f t="shared" si="6"/>
        <v>10357</v>
      </c>
      <c r="J34" s="400">
        <f t="shared" si="6"/>
        <v>0</v>
      </c>
      <c r="K34" s="400">
        <f t="shared" si="6"/>
        <v>29293</v>
      </c>
      <c r="L34" s="400">
        <f t="shared" si="6"/>
        <v>158519</v>
      </c>
      <c r="M34" s="400">
        <f t="shared" si="6"/>
        <v>0</v>
      </c>
      <c r="N34" s="400">
        <f t="shared" si="6"/>
        <v>24077</v>
      </c>
      <c r="O34" s="400">
        <f t="shared" si="6"/>
        <v>203922</v>
      </c>
      <c r="P34" s="400">
        <f t="shared" si="6"/>
        <v>12526</v>
      </c>
      <c r="Q34" s="400">
        <f t="shared" si="6"/>
        <v>21767</v>
      </c>
      <c r="R34" s="400">
        <f t="shared" si="6"/>
        <v>22866</v>
      </c>
      <c r="S34" s="400">
        <f t="shared" si="6"/>
        <v>149855</v>
      </c>
      <c r="T34" s="400">
        <f t="shared" si="1"/>
        <v>739833</v>
      </c>
      <c r="U34" s="373"/>
    </row>
    <row r="35" spans="1:21" ht="21" customHeight="1">
      <c r="A35" s="369"/>
      <c r="B35" s="394"/>
      <c r="C35" s="395"/>
      <c r="D35" s="396"/>
      <c r="E35" s="401"/>
      <c r="F35" s="402" t="s">
        <v>210</v>
      </c>
      <c r="G35" s="403">
        <f>G37+G39+G40</f>
        <v>0</v>
      </c>
      <c r="H35" s="405">
        <f aca="true" t="shared" si="7" ref="H35:S35">H37+H39+H40</f>
        <v>100000</v>
      </c>
      <c r="I35" s="405">
        <f t="shared" si="7"/>
        <v>10357</v>
      </c>
      <c r="J35" s="405">
        <f t="shared" si="7"/>
        <v>0</v>
      </c>
      <c r="K35" s="405">
        <f t="shared" si="7"/>
        <v>37207</v>
      </c>
      <c r="L35" s="405">
        <f t="shared" si="7"/>
        <v>158518</v>
      </c>
      <c r="M35" s="405">
        <f t="shared" si="7"/>
        <v>0</v>
      </c>
      <c r="N35" s="405">
        <f t="shared" si="7"/>
        <v>59083</v>
      </c>
      <c r="O35" s="405">
        <f t="shared" si="7"/>
        <v>203922</v>
      </c>
      <c r="P35" s="405">
        <f t="shared" si="7"/>
        <v>28602</v>
      </c>
      <c r="Q35" s="405">
        <f t="shared" si="7"/>
        <v>21767</v>
      </c>
      <c r="R35" s="405">
        <f t="shared" si="7"/>
        <v>29919</v>
      </c>
      <c r="S35" s="405">
        <f t="shared" si="7"/>
        <v>142592</v>
      </c>
      <c r="T35" s="405">
        <f t="shared" si="1"/>
        <v>791967</v>
      </c>
      <c r="U35" s="373"/>
    </row>
    <row r="36" spans="1:21" ht="21" customHeight="1">
      <c r="A36" s="369"/>
      <c r="B36" s="394"/>
      <c r="C36" s="395"/>
      <c r="D36" s="396"/>
      <c r="E36" s="396" t="s">
        <v>219</v>
      </c>
      <c r="F36" s="397" t="s">
        <v>209</v>
      </c>
      <c r="G36" s="398">
        <v>0</v>
      </c>
      <c r="H36" s="400">
        <v>66923</v>
      </c>
      <c r="I36" s="400">
        <v>0</v>
      </c>
      <c r="J36" s="400">
        <v>0</v>
      </c>
      <c r="K36" s="400">
        <v>29293</v>
      </c>
      <c r="L36" s="400">
        <v>158519</v>
      </c>
      <c r="M36" s="400">
        <v>0</v>
      </c>
      <c r="N36" s="400">
        <v>24077</v>
      </c>
      <c r="O36" s="400">
        <v>75399</v>
      </c>
      <c r="P36" s="400">
        <v>12526</v>
      </c>
      <c r="Q36" s="400">
        <v>17564</v>
      </c>
      <c r="R36" s="400">
        <v>9366</v>
      </c>
      <c r="S36" s="400">
        <v>142592</v>
      </c>
      <c r="T36" s="400">
        <f t="shared" si="1"/>
        <v>536259</v>
      </c>
      <c r="U36" s="373"/>
    </row>
    <row r="37" spans="1:21" ht="21" customHeight="1">
      <c r="A37" s="369"/>
      <c r="B37" s="394"/>
      <c r="C37" s="395"/>
      <c r="D37" s="396"/>
      <c r="E37" s="412" t="s">
        <v>485</v>
      </c>
      <c r="F37" s="402" t="s">
        <v>210</v>
      </c>
      <c r="G37" s="403">
        <v>0</v>
      </c>
      <c r="H37" s="405">
        <v>62750</v>
      </c>
      <c r="I37" s="405">
        <v>0</v>
      </c>
      <c r="J37" s="405">
        <v>0</v>
      </c>
      <c r="K37" s="405">
        <v>37207</v>
      </c>
      <c r="L37" s="405">
        <v>158518</v>
      </c>
      <c r="M37" s="405">
        <v>0</v>
      </c>
      <c r="N37" s="405">
        <v>59083</v>
      </c>
      <c r="O37" s="405">
        <v>75399</v>
      </c>
      <c r="P37" s="405">
        <v>23253</v>
      </c>
      <c r="Q37" s="405">
        <v>17564</v>
      </c>
      <c r="R37" s="405">
        <v>9366</v>
      </c>
      <c r="S37" s="405">
        <v>142592</v>
      </c>
      <c r="T37" s="405">
        <f t="shared" si="1"/>
        <v>585732</v>
      </c>
      <c r="U37" s="373"/>
    </row>
    <row r="38" spans="1:21" ht="21" customHeight="1">
      <c r="A38" s="369"/>
      <c r="B38" s="394"/>
      <c r="C38" s="395"/>
      <c r="D38" s="396"/>
      <c r="E38" s="396" t="s">
        <v>219</v>
      </c>
      <c r="F38" s="397" t="s">
        <v>209</v>
      </c>
      <c r="G38" s="398">
        <v>0</v>
      </c>
      <c r="H38" s="400">
        <v>39728</v>
      </c>
      <c r="I38" s="400">
        <v>10357</v>
      </c>
      <c r="J38" s="400">
        <v>0</v>
      </c>
      <c r="K38" s="400">
        <v>0</v>
      </c>
      <c r="L38" s="400">
        <v>0</v>
      </c>
      <c r="M38" s="400">
        <v>0</v>
      </c>
      <c r="N38" s="400">
        <v>0</v>
      </c>
      <c r="O38" s="400">
        <v>128523</v>
      </c>
      <c r="P38" s="400">
        <v>0</v>
      </c>
      <c r="Q38" s="400">
        <v>4203</v>
      </c>
      <c r="R38" s="400">
        <v>13500</v>
      </c>
      <c r="S38" s="400">
        <v>7263</v>
      </c>
      <c r="T38" s="400">
        <f t="shared" si="1"/>
        <v>203574</v>
      </c>
      <c r="U38" s="373"/>
    </row>
    <row r="39" spans="1:21" ht="21" customHeight="1">
      <c r="A39" s="369"/>
      <c r="B39" s="394"/>
      <c r="C39" s="395"/>
      <c r="D39" s="396"/>
      <c r="E39" s="413" t="s">
        <v>231</v>
      </c>
      <c r="F39" s="402" t="s">
        <v>210</v>
      </c>
      <c r="G39" s="403">
        <v>0</v>
      </c>
      <c r="H39" s="405">
        <v>37250</v>
      </c>
      <c r="I39" s="405">
        <v>10357</v>
      </c>
      <c r="J39" s="405">
        <v>0</v>
      </c>
      <c r="K39" s="405">
        <v>0</v>
      </c>
      <c r="L39" s="405">
        <v>0</v>
      </c>
      <c r="M39" s="405">
        <v>0</v>
      </c>
      <c r="N39" s="405">
        <v>0</v>
      </c>
      <c r="O39" s="405">
        <v>128523</v>
      </c>
      <c r="P39" s="405">
        <v>5349</v>
      </c>
      <c r="Q39" s="405">
        <v>4203</v>
      </c>
      <c r="R39" s="405">
        <v>13500</v>
      </c>
      <c r="S39" s="405">
        <v>0</v>
      </c>
      <c r="T39" s="405">
        <f t="shared" si="1"/>
        <v>199182</v>
      </c>
      <c r="U39" s="373"/>
    </row>
    <row r="40" spans="1:21" ht="21" customHeight="1">
      <c r="A40" s="369"/>
      <c r="B40" s="394"/>
      <c r="C40" s="395"/>
      <c r="D40" s="401"/>
      <c r="E40" s="401" t="s">
        <v>193</v>
      </c>
      <c r="F40" s="402" t="s">
        <v>210</v>
      </c>
      <c r="G40" s="403">
        <v>0</v>
      </c>
      <c r="H40" s="405">
        <v>0</v>
      </c>
      <c r="I40" s="405">
        <v>0</v>
      </c>
      <c r="J40" s="405">
        <v>0</v>
      </c>
      <c r="K40" s="405">
        <v>0</v>
      </c>
      <c r="L40" s="405">
        <v>0</v>
      </c>
      <c r="M40" s="405">
        <v>0</v>
      </c>
      <c r="N40" s="405">
        <v>0</v>
      </c>
      <c r="O40" s="405">
        <v>0</v>
      </c>
      <c r="P40" s="405">
        <v>0</v>
      </c>
      <c r="Q40" s="405">
        <v>0</v>
      </c>
      <c r="R40" s="405">
        <v>7053</v>
      </c>
      <c r="S40" s="405">
        <v>0</v>
      </c>
      <c r="T40" s="405">
        <f t="shared" si="1"/>
        <v>7053</v>
      </c>
      <c r="U40" s="373"/>
    </row>
    <row r="41" spans="1:21" ht="21" customHeight="1">
      <c r="A41" s="369"/>
      <c r="B41" s="394"/>
      <c r="C41" s="395"/>
      <c r="D41" s="396" t="s">
        <v>214</v>
      </c>
      <c r="E41" s="396"/>
      <c r="F41" s="397" t="s">
        <v>209</v>
      </c>
      <c r="G41" s="398">
        <f>G43</f>
        <v>0</v>
      </c>
      <c r="H41" s="400">
        <f aca="true" t="shared" si="8" ref="H41:S41">H43</f>
        <v>0</v>
      </c>
      <c r="I41" s="400">
        <f t="shared" si="8"/>
        <v>0</v>
      </c>
      <c r="J41" s="400">
        <f t="shared" si="8"/>
        <v>0</v>
      </c>
      <c r="K41" s="400">
        <f t="shared" si="8"/>
        <v>0</v>
      </c>
      <c r="L41" s="400">
        <f t="shared" si="8"/>
        <v>0</v>
      </c>
      <c r="M41" s="400">
        <f t="shared" si="8"/>
        <v>0</v>
      </c>
      <c r="N41" s="400">
        <f t="shared" si="8"/>
        <v>0</v>
      </c>
      <c r="O41" s="400">
        <f t="shared" si="8"/>
        <v>0</v>
      </c>
      <c r="P41" s="400">
        <f t="shared" si="8"/>
        <v>0</v>
      </c>
      <c r="Q41" s="400">
        <f t="shared" si="8"/>
        <v>0</v>
      </c>
      <c r="R41" s="400">
        <f t="shared" si="8"/>
        <v>0</v>
      </c>
      <c r="S41" s="400">
        <f t="shared" si="8"/>
        <v>0</v>
      </c>
      <c r="T41" s="400">
        <f t="shared" si="1"/>
        <v>0</v>
      </c>
      <c r="U41" s="373"/>
    </row>
    <row r="42" spans="1:21" ht="21" customHeight="1">
      <c r="A42" s="369"/>
      <c r="B42" s="394"/>
      <c r="C42" s="395"/>
      <c r="D42" s="396"/>
      <c r="E42" s="401"/>
      <c r="F42" s="402" t="s">
        <v>210</v>
      </c>
      <c r="G42" s="403">
        <f>G44+G45</f>
        <v>0</v>
      </c>
      <c r="H42" s="405">
        <f aca="true" t="shared" si="9" ref="H42:S42">H44+H45</f>
        <v>0</v>
      </c>
      <c r="I42" s="405">
        <f t="shared" si="9"/>
        <v>0</v>
      </c>
      <c r="J42" s="405">
        <f t="shared" si="9"/>
        <v>0</v>
      </c>
      <c r="K42" s="405">
        <f t="shared" si="9"/>
        <v>0</v>
      </c>
      <c r="L42" s="405">
        <f t="shared" si="9"/>
        <v>0</v>
      </c>
      <c r="M42" s="405">
        <f t="shared" si="9"/>
        <v>0</v>
      </c>
      <c r="N42" s="405">
        <f t="shared" si="9"/>
        <v>0</v>
      </c>
      <c r="O42" s="405">
        <f t="shared" si="9"/>
        <v>0</v>
      </c>
      <c r="P42" s="405">
        <f t="shared" si="9"/>
        <v>0</v>
      </c>
      <c r="Q42" s="405">
        <f t="shared" si="9"/>
        <v>0</v>
      </c>
      <c r="R42" s="405">
        <f t="shared" si="9"/>
        <v>13500</v>
      </c>
      <c r="S42" s="405">
        <f t="shared" si="9"/>
        <v>0</v>
      </c>
      <c r="T42" s="405">
        <f t="shared" si="1"/>
        <v>13500</v>
      </c>
      <c r="U42" s="373"/>
    </row>
    <row r="43" spans="1:21" ht="21" customHeight="1">
      <c r="A43" s="369"/>
      <c r="B43" s="394"/>
      <c r="C43" s="395"/>
      <c r="D43" s="396"/>
      <c r="E43" s="396" t="s">
        <v>218</v>
      </c>
      <c r="F43" s="397" t="s">
        <v>209</v>
      </c>
      <c r="G43" s="398">
        <v>0</v>
      </c>
      <c r="H43" s="400">
        <v>0</v>
      </c>
      <c r="I43" s="400">
        <v>0</v>
      </c>
      <c r="J43" s="400">
        <v>0</v>
      </c>
      <c r="K43" s="400">
        <v>0</v>
      </c>
      <c r="L43" s="400">
        <v>0</v>
      </c>
      <c r="M43" s="400">
        <v>0</v>
      </c>
      <c r="N43" s="400">
        <v>0</v>
      </c>
      <c r="O43" s="400">
        <v>0</v>
      </c>
      <c r="P43" s="400">
        <v>0</v>
      </c>
      <c r="Q43" s="400">
        <v>0</v>
      </c>
      <c r="R43" s="400">
        <v>0</v>
      </c>
      <c r="S43" s="400">
        <v>0</v>
      </c>
      <c r="T43" s="400">
        <f t="shared" si="1"/>
        <v>0</v>
      </c>
      <c r="U43" s="373"/>
    </row>
    <row r="44" spans="1:21" ht="21" customHeight="1">
      <c r="A44" s="369"/>
      <c r="B44" s="394"/>
      <c r="C44" s="395"/>
      <c r="D44" s="396"/>
      <c r="E44" s="401"/>
      <c r="F44" s="402" t="s">
        <v>210</v>
      </c>
      <c r="G44" s="403">
        <v>0</v>
      </c>
      <c r="H44" s="405">
        <v>0</v>
      </c>
      <c r="I44" s="405">
        <v>0</v>
      </c>
      <c r="J44" s="405">
        <v>0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405">
        <v>0</v>
      </c>
      <c r="R44" s="405">
        <v>0</v>
      </c>
      <c r="S44" s="405">
        <v>0</v>
      </c>
      <c r="T44" s="405">
        <f t="shared" si="1"/>
        <v>0</v>
      </c>
      <c r="U44" s="373"/>
    </row>
    <row r="45" spans="1:21" ht="21" customHeight="1">
      <c r="A45" s="369"/>
      <c r="B45" s="407"/>
      <c r="C45" s="401"/>
      <c r="D45" s="401"/>
      <c r="E45" s="401" t="s">
        <v>193</v>
      </c>
      <c r="F45" s="402" t="s">
        <v>210</v>
      </c>
      <c r="G45" s="403">
        <v>0</v>
      </c>
      <c r="H45" s="405">
        <v>0</v>
      </c>
      <c r="I45" s="405">
        <v>0</v>
      </c>
      <c r="J45" s="405">
        <v>0</v>
      </c>
      <c r="K45" s="405">
        <v>0</v>
      </c>
      <c r="L45" s="405">
        <v>0</v>
      </c>
      <c r="M45" s="405">
        <v>0</v>
      </c>
      <c r="N45" s="405">
        <v>0</v>
      </c>
      <c r="O45" s="405">
        <v>0</v>
      </c>
      <c r="P45" s="405">
        <v>0</v>
      </c>
      <c r="Q45" s="405">
        <v>0</v>
      </c>
      <c r="R45" s="405">
        <v>13500</v>
      </c>
      <c r="S45" s="405">
        <v>0</v>
      </c>
      <c r="T45" s="405">
        <f t="shared" si="1"/>
        <v>13500</v>
      </c>
      <c r="U45" s="373"/>
    </row>
    <row r="46" spans="1:21" ht="21" customHeight="1">
      <c r="A46" s="369"/>
      <c r="B46" s="394" t="s">
        <v>232</v>
      </c>
      <c r="C46" s="395"/>
      <c r="D46" s="396"/>
      <c r="E46" s="396"/>
      <c r="F46" s="397" t="s">
        <v>209</v>
      </c>
      <c r="G46" s="398">
        <f>'07繰入金(1)'!G11+'07繰入金(1)'!G19+'07繰入金(1)'!G38+'08繰入金(2)'!G19+'08繰入金(2)'!G25+'08繰入金(2)'!G34+'08繰入金(2)'!G41</f>
        <v>1047553</v>
      </c>
      <c r="H46" s="400">
        <f>'07繰入金(1)'!H11+'07繰入金(1)'!H19+'07繰入金(1)'!H38+'08繰入金(2)'!H19+'08繰入金(2)'!H25+'08繰入金(2)'!H34+'08繰入金(2)'!H41</f>
        <v>403875</v>
      </c>
      <c r="I46" s="400">
        <f>'07繰入金(1)'!I11+'07繰入金(1)'!I19+'07繰入金(1)'!I38+'08繰入金(2)'!I19+'08繰入金(2)'!I25+'08繰入金(2)'!I34+'08繰入金(2)'!I41</f>
        <v>827236</v>
      </c>
      <c r="J46" s="400">
        <f>'07繰入金(1)'!J11+'07繰入金(1)'!J19+'07繰入金(1)'!J38+'08繰入金(2)'!J19+'08繰入金(2)'!J25+'08繰入金(2)'!J34+'08繰入金(2)'!J41</f>
        <v>152815</v>
      </c>
      <c r="K46" s="400">
        <f>'07繰入金(1)'!K11+'07繰入金(1)'!K19+'07繰入金(1)'!K38+'08繰入金(2)'!K19+'08繰入金(2)'!K25+'08繰入金(2)'!K34+'08繰入金(2)'!K41</f>
        <v>1072145</v>
      </c>
      <c r="L46" s="400">
        <f>'07繰入金(1)'!L11+'07繰入金(1)'!L19+'07繰入金(1)'!L38+'08繰入金(2)'!L19+'08繰入金(2)'!L25+'08繰入金(2)'!L34+'08繰入金(2)'!L41</f>
        <v>481859</v>
      </c>
      <c r="M46" s="400">
        <f>'07繰入金(1)'!M11+'07繰入金(1)'!M19+'07繰入金(1)'!M38+'08繰入金(2)'!M19+'08繰入金(2)'!M25+'08繰入金(2)'!M34+'08繰入金(2)'!M41</f>
        <v>129584</v>
      </c>
      <c r="N46" s="400">
        <f>'07繰入金(1)'!N11+'07繰入金(1)'!N19+'07繰入金(1)'!N38+'08繰入金(2)'!N19+'08繰入金(2)'!N25+'08繰入金(2)'!N34+'08繰入金(2)'!N41</f>
        <v>198567</v>
      </c>
      <c r="O46" s="400">
        <f>'07繰入金(1)'!O11+'07繰入金(1)'!O19+'07繰入金(1)'!O38+'08繰入金(2)'!O19+'08繰入金(2)'!O25+'08繰入金(2)'!O34+'08繰入金(2)'!O41</f>
        <v>458071</v>
      </c>
      <c r="P46" s="400">
        <f>'07繰入金(1)'!P11+'07繰入金(1)'!P19+'07繰入金(1)'!P38+'08繰入金(2)'!P19+'08繰入金(2)'!P25+'08繰入金(2)'!P34+'08繰入金(2)'!P41</f>
        <v>27639</v>
      </c>
      <c r="Q46" s="400">
        <f>'07繰入金(1)'!Q11+'07繰入金(1)'!Q19+'07繰入金(1)'!Q38+'08繰入金(2)'!Q19+'08繰入金(2)'!Q25+'08繰入金(2)'!Q34+'08繰入金(2)'!Q41</f>
        <v>94527</v>
      </c>
      <c r="R46" s="400">
        <f>'07繰入金(1)'!R11+'07繰入金(1)'!R19+'07繰入金(1)'!R38+'08繰入金(2)'!R19+'08繰入金(2)'!R25+'08繰入金(2)'!R34+'08繰入金(2)'!R41</f>
        <v>252364</v>
      </c>
      <c r="S46" s="400">
        <f>'07繰入金(1)'!S11+'07繰入金(1)'!S19+'07繰入金(1)'!S38+'08繰入金(2)'!S19+'08繰入金(2)'!S25+'08繰入金(2)'!S34+'08繰入金(2)'!S41</f>
        <v>398662</v>
      </c>
      <c r="T46" s="400">
        <f t="shared" si="1"/>
        <v>5544897</v>
      </c>
      <c r="U46" s="373"/>
    </row>
    <row r="47" spans="1:21" ht="21" customHeight="1">
      <c r="A47" s="369"/>
      <c r="B47" s="407"/>
      <c r="C47" s="401"/>
      <c r="D47" s="401"/>
      <c r="E47" s="401"/>
      <c r="F47" s="402" t="s">
        <v>210</v>
      </c>
      <c r="G47" s="403">
        <f>'07繰入金(1)'!G12+'07繰入金(1)'!G20+'07繰入金(1)'!G39+'08繰入金(2)'!G20+'08繰入金(2)'!G26+'08繰入金(2)'!G35+'08繰入金(2)'!G42</f>
        <v>991445</v>
      </c>
      <c r="H47" s="405">
        <f>'07繰入金(1)'!H12+'07繰入金(1)'!H20+'07繰入金(1)'!H39+'08繰入金(2)'!H20+'08繰入金(2)'!H26+'08繰入金(2)'!H35+'08繰入金(2)'!H42</f>
        <v>507779</v>
      </c>
      <c r="I47" s="405">
        <f>'07繰入金(1)'!I12+'07繰入金(1)'!I20+'07繰入金(1)'!I39+'08繰入金(2)'!I20+'08繰入金(2)'!I26+'08繰入金(2)'!I35+'08繰入金(2)'!I42</f>
        <v>883814</v>
      </c>
      <c r="J47" s="405">
        <f>'07繰入金(1)'!J12+'07繰入金(1)'!J20+'07繰入金(1)'!J39+'08繰入金(2)'!J20+'08繰入金(2)'!J26+'08繰入金(2)'!J35+'08繰入金(2)'!J42</f>
        <v>363870</v>
      </c>
      <c r="K47" s="405">
        <f>'07繰入金(1)'!K12+'07繰入金(1)'!K20+'07繰入金(1)'!K39+'08繰入金(2)'!K20+'08繰入金(2)'!K26+'08繰入金(2)'!K35+'08繰入金(2)'!K42</f>
        <v>1119483</v>
      </c>
      <c r="L47" s="405">
        <f>'07繰入金(1)'!L12+'07繰入金(1)'!L20+'07繰入金(1)'!L39+'08繰入金(2)'!L20+'08繰入金(2)'!L26+'08繰入金(2)'!L35+'08繰入金(2)'!L42</f>
        <v>320000</v>
      </c>
      <c r="M47" s="405">
        <f>'07繰入金(1)'!M12+'07繰入金(1)'!M20+'07繰入金(1)'!M39+'08繰入金(2)'!M20+'08繰入金(2)'!M26+'08繰入金(2)'!M35+'08繰入金(2)'!M42</f>
        <v>308439</v>
      </c>
      <c r="N47" s="405">
        <f>'07繰入金(1)'!N12+'07繰入金(1)'!N20+'07繰入金(1)'!N39+'08繰入金(2)'!N20+'08繰入金(2)'!N26+'08繰入金(2)'!N35+'08繰入金(2)'!N42</f>
        <v>550000</v>
      </c>
      <c r="O47" s="405">
        <f>'07繰入金(1)'!O12+'07繰入金(1)'!O20+'07繰入金(1)'!O39+'08繰入金(2)'!O20+'08繰入金(2)'!O26+'08繰入金(2)'!O35+'08繰入金(2)'!O42</f>
        <v>460171</v>
      </c>
      <c r="P47" s="405">
        <f>'07繰入金(1)'!P12+'07繰入金(1)'!P20+'07繰入金(1)'!P39+'08繰入金(2)'!P20+'08繰入金(2)'!P26+'08繰入金(2)'!P35+'08繰入金(2)'!P42</f>
        <v>209132</v>
      </c>
      <c r="Q47" s="405">
        <f>'07繰入金(1)'!Q12+'07繰入金(1)'!Q20+'07繰入金(1)'!Q39+'08繰入金(2)'!Q20+'08繰入金(2)'!Q26+'08繰入金(2)'!Q35+'08繰入金(2)'!Q42</f>
        <v>102525</v>
      </c>
      <c r="R47" s="405">
        <f>'07繰入金(1)'!R12+'07繰入金(1)'!R20+'07繰入金(1)'!R39+'08繰入金(2)'!R20+'08繰入金(2)'!R26+'08繰入金(2)'!R35+'08繰入金(2)'!R42</f>
        <v>250000</v>
      </c>
      <c r="S47" s="405">
        <f>'07繰入金(1)'!S12+'07繰入金(1)'!S20+'07繰入金(1)'!S39+'08繰入金(2)'!S20+'08繰入金(2)'!S26+'08繰入金(2)'!S35+'08繰入金(2)'!S42</f>
        <v>350296</v>
      </c>
      <c r="T47" s="405">
        <f t="shared" si="1"/>
        <v>6416954</v>
      </c>
      <c r="U47" s="373"/>
    </row>
    <row r="48" spans="1:21" ht="21" customHeight="1">
      <c r="A48" s="369"/>
      <c r="B48" s="415"/>
      <c r="C48" s="416"/>
      <c r="D48" s="417" t="s">
        <v>235</v>
      </c>
      <c r="E48" s="395"/>
      <c r="F48" s="397" t="s">
        <v>209</v>
      </c>
      <c r="G48" s="418">
        <v>0</v>
      </c>
      <c r="H48" s="411">
        <v>0</v>
      </c>
      <c r="I48" s="411">
        <v>0</v>
      </c>
      <c r="J48" s="411">
        <v>0</v>
      </c>
      <c r="K48" s="411">
        <v>0</v>
      </c>
      <c r="L48" s="411">
        <v>0</v>
      </c>
      <c r="M48" s="411">
        <v>0</v>
      </c>
      <c r="N48" s="411">
        <v>0</v>
      </c>
      <c r="O48" s="411">
        <v>0</v>
      </c>
      <c r="P48" s="411">
        <v>0</v>
      </c>
      <c r="Q48" s="411">
        <v>0</v>
      </c>
      <c r="R48" s="411">
        <v>0</v>
      </c>
      <c r="S48" s="411">
        <v>0</v>
      </c>
      <c r="T48" s="411">
        <f t="shared" si="1"/>
        <v>0</v>
      </c>
      <c r="U48" s="373"/>
    </row>
    <row r="49" spans="1:21" ht="21" customHeight="1">
      <c r="A49" s="369"/>
      <c r="B49" s="419"/>
      <c r="C49" s="420"/>
      <c r="D49" s="401"/>
      <c r="E49" s="401"/>
      <c r="F49" s="402" t="s">
        <v>210</v>
      </c>
      <c r="G49" s="421">
        <v>0</v>
      </c>
      <c r="H49" s="422">
        <v>0</v>
      </c>
      <c r="I49" s="422">
        <v>0</v>
      </c>
      <c r="J49" s="422">
        <v>0</v>
      </c>
      <c r="K49" s="422">
        <v>250000</v>
      </c>
      <c r="L49" s="422">
        <v>0</v>
      </c>
      <c r="M49" s="422">
        <v>0</v>
      </c>
      <c r="N49" s="422">
        <v>0</v>
      </c>
      <c r="O49" s="422">
        <v>0</v>
      </c>
      <c r="P49" s="422">
        <v>0</v>
      </c>
      <c r="Q49" s="422">
        <v>0</v>
      </c>
      <c r="R49" s="422">
        <v>0</v>
      </c>
      <c r="S49" s="422">
        <v>0</v>
      </c>
      <c r="T49" s="423">
        <f t="shared" si="1"/>
        <v>250000</v>
      </c>
      <c r="U49" s="373"/>
    </row>
    <row r="50" spans="1:21" ht="21" customHeight="1" thickBot="1">
      <c r="A50" s="369"/>
      <c r="B50" s="370" t="s">
        <v>233</v>
      </c>
      <c r="C50" s="371"/>
      <c r="D50" s="371"/>
      <c r="E50" s="371"/>
      <c r="F50" s="371"/>
      <c r="G50" s="454">
        <v>38977</v>
      </c>
      <c r="H50" s="455">
        <v>273592</v>
      </c>
      <c r="I50" s="455">
        <v>56578</v>
      </c>
      <c r="J50" s="455">
        <v>211055</v>
      </c>
      <c r="K50" s="455">
        <v>297338</v>
      </c>
      <c r="L50" s="455">
        <v>0</v>
      </c>
      <c r="M50" s="455">
        <v>199773</v>
      </c>
      <c r="N50" s="455">
        <v>351433</v>
      </c>
      <c r="O50" s="455">
        <v>2100</v>
      </c>
      <c r="P50" s="455">
        <v>181493</v>
      </c>
      <c r="Q50" s="455">
        <v>7998</v>
      </c>
      <c r="R50" s="455">
        <v>20553</v>
      </c>
      <c r="S50" s="455">
        <v>0</v>
      </c>
      <c r="T50" s="372">
        <f t="shared" si="1"/>
        <v>1640890</v>
      </c>
      <c r="U50" s="373"/>
    </row>
    <row r="51" spans="7:20" ht="17.25"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</row>
    <row r="52" spans="7:20" ht="17.25"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</row>
    <row r="53" spans="18:20" ht="17.25">
      <c r="R53" s="440" t="s">
        <v>490</v>
      </c>
      <c r="S53" s="440" t="s">
        <v>491</v>
      </c>
      <c r="T53" s="442">
        <f>T25+T34+T41</f>
        <v>1926745</v>
      </c>
    </row>
    <row r="54" spans="18:20" ht="17.25">
      <c r="R54" s="331"/>
      <c r="S54" s="440" t="s">
        <v>492</v>
      </c>
      <c r="T54" s="442">
        <f>T26+T35+T42</f>
        <v>1934578</v>
      </c>
    </row>
    <row r="55" ht="17.25">
      <c r="T55" s="442"/>
    </row>
    <row r="56" ht="17.25">
      <c r="T56" s="442"/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2010-09-17T06:06:11Z</cp:lastPrinted>
  <dcterms:created xsi:type="dcterms:W3CDTF">2000-11-09T07:23:50Z</dcterms:created>
  <dcterms:modified xsi:type="dcterms:W3CDTF">2011-01-13T00:18:42Z</dcterms:modified>
  <cp:category/>
  <cp:version/>
  <cp:contentType/>
  <cp:contentStatus/>
</cp:coreProperties>
</file>