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15" windowWidth="20520" windowHeight="3660" tabRatio="734" activeTab="0"/>
  </bookViews>
  <sheets>
    <sheet name="01施設概要" sheetId="1" r:id="rId1"/>
    <sheet name="02損益計算" sheetId="2" r:id="rId2"/>
    <sheet name="03収益費用構成" sheetId="3" r:id="rId3"/>
    <sheet name="04貸借対照" sheetId="4" r:id="rId4"/>
    <sheet name="05資本的収支" sheetId="5" r:id="rId5"/>
    <sheet name="06経営分析" sheetId="6" r:id="rId6"/>
    <sheet name="07繰入金(1)" sheetId="7" r:id="rId7"/>
    <sheet name="08繰入金(2)" sheetId="8" r:id="rId8"/>
  </sheets>
  <definedNames>
    <definedName name="_xlnm.Print_Area" localSheetId="0">'01施設概要'!$B$1:$R$42</definedName>
    <definedName name="_xlnm.Print_Area" localSheetId="1">'02損益計算'!$B$1:$T$50</definedName>
    <definedName name="_xlnm.Print_Area" localSheetId="2">'03収益費用構成'!$B$1:$S$49</definedName>
    <definedName name="_xlnm.Print_Area" localSheetId="3">'04貸借対照'!$B$1:$S$62</definedName>
    <definedName name="_xlnm.Print_Area" localSheetId="4">'05資本的収支'!$B$1:$S$35</definedName>
    <definedName name="_xlnm.Print_Area" localSheetId="5">'06経営分析'!$B$1:$R$42</definedName>
    <definedName name="_xlnm.Print_Area" localSheetId="6">'07繰入金(1)'!$B$1:$U$51</definedName>
    <definedName name="_xlnm.Print_Area" localSheetId="7">'08繰入金(2)'!$B$1:$U$50</definedName>
    <definedName name="Print_Area_MI" localSheetId="0">'01施設概要'!$D$1:$Q$42</definedName>
    <definedName name="Print_Area_MI" localSheetId="1">'02損益計算'!$B$1:$S$49</definedName>
    <definedName name="Print_Area_MI" localSheetId="2">'03収益費用構成'!$B$1:$R$49</definedName>
    <definedName name="Print_Area_MI" localSheetId="3">'04貸借対照'!$B$1:$R$44</definedName>
    <definedName name="Print_Area_MI" localSheetId="4">'05資本的収支'!$B$1:$R$35</definedName>
    <definedName name="Print_Area_MI" localSheetId="6">'07繰入金(1)'!$B$1:$T$51</definedName>
    <definedName name="Print_Area_MI" localSheetId="7">'08繰入金(2)'!$B$1:$T$52</definedName>
  </definedNames>
  <calcPr fullCalcOnLoad="1"/>
</workbook>
</file>

<file path=xl/sharedStrings.xml><?xml version="1.0" encoding="utf-8"?>
<sst xmlns="http://schemas.openxmlformats.org/spreadsheetml/2006/main" count="1137" uniqueCount="509">
  <si>
    <t>病 院 事 業</t>
  </si>
  <si>
    <t>施設及び業務概要</t>
  </si>
  <si>
    <t xml:space="preserve">    団   体   名</t>
  </si>
  <si>
    <t>四日市市</t>
  </si>
  <si>
    <t>伊勢市</t>
  </si>
  <si>
    <t>松阪市</t>
  </si>
  <si>
    <t>桑名市</t>
  </si>
  <si>
    <t>名張市</t>
  </si>
  <si>
    <t>尾鷲市</t>
  </si>
  <si>
    <t>亀山市</t>
  </si>
  <si>
    <t>玉城町</t>
  </si>
  <si>
    <t>紀南病院組合</t>
  </si>
  <si>
    <t>計</t>
  </si>
  <si>
    <t xml:space="preserve">  項      目</t>
  </si>
  <si>
    <t>国民健康保険</t>
  </si>
  <si>
    <t>松阪市民病院</t>
  </si>
  <si>
    <t>尾鷲総合病院</t>
  </si>
  <si>
    <t>医療センター</t>
  </si>
  <si>
    <t>紀南病院</t>
  </si>
  <si>
    <t xml:space="preserve">  病    院    区    分</t>
  </si>
  <si>
    <t>　　一　般　　　</t>
  </si>
  <si>
    <t>　　　　　　</t>
  </si>
  <si>
    <t>　　　　　　 @@@</t>
  </si>
  <si>
    <t xml:space="preserve">  不 採 算 地 区 病 院</t>
  </si>
  <si>
    <t>－</t>
  </si>
  <si>
    <t xml:space="preserve">  救 急 病 院 の 告 示</t>
  </si>
  <si>
    <t>病</t>
  </si>
  <si>
    <t>一      般</t>
  </si>
  <si>
    <t>結      核</t>
  </si>
  <si>
    <t>床</t>
  </si>
  <si>
    <t>精      神</t>
  </si>
  <si>
    <t>数</t>
  </si>
  <si>
    <t>病延</t>
  </si>
  <si>
    <t>院面</t>
  </si>
  <si>
    <t>施積</t>
  </si>
  <si>
    <t xml:space="preserve"> 設</t>
  </si>
  <si>
    <t xml:space="preserve"> 看学</t>
  </si>
  <si>
    <t xml:space="preserve"> 護院</t>
  </si>
  <si>
    <t xml:space="preserve">  年延入院患者数   (人)</t>
  </si>
  <si>
    <t xml:space="preserve">  年延外来患者数   (人)</t>
  </si>
  <si>
    <t xml:space="preserve">     計</t>
  </si>
  <si>
    <t>医       師 (人)</t>
  </si>
  <si>
    <t>年</t>
  </si>
  <si>
    <t>看 護 部 門 (人)</t>
  </si>
  <si>
    <t>度</t>
  </si>
  <si>
    <t>薬 剤 部 門 (人)</t>
  </si>
  <si>
    <t>末</t>
  </si>
  <si>
    <t>事 務 部 門 (人)</t>
  </si>
  <si>
    <t>職</t>
  </si>
  <si>
    <t>給 食 部 門 (人)</t>
  </si>
  <si>
    <t>員</t>
  </si>
  <si>
    <t>放射線部門  (人)</t>
  </si>
  <si>
    <t>臨床検査部門(人)</t>
  </si>
  <si>
    <t>そ  の  他  (人)</t>
  </si>
  <si>
    <t xml:space="preserve">  診    療    所    数</t>
  </si>
  <si>
    <t>損益計算書</t>
  </si>
  <si>
    <t>(単位:千円)</t>
  </si>
  <si>
    <t xml:space="preserve">    団    体    名</t>
  </si>
  <si>
    <t>項        目</t>
  </si>
  <si>
    <t>報徳病院</t>
  </si>
  <si>
    <t>玉城病院</t>
  </si>
  <si>
    <t xml:space="preserve"> ア 受取利息及び配当金</t>
  </si>
  <si>
    <t xml:space="preserve"> イ 看 護 学 院 収 益</t>
  </si>
  <si>
    <t xml:space="preserve"> ウ 国 庫 補 助 金</t>
  </si>
  <si>
    <t xml:space="preserve"> エ 県  補  助  金</t>
  </si>
  <si>
    <t xml:space="preserve"> オ 他 会 計 補 助 金</t>
  </si>
  <si>
    <t xml:space="preserve"> カ 他 会 計 負 担 金</t>
  </si>
  <si>
    <t xml:space="preserve"> キ その他医業外収益</t>
  </si>
  <si>
    <t xml:space="preserve"> ア 職 員 給 与 費</t>
  </si>
  <si>
    <t xml:space="preserve"> イ 材    料    費</t>
  </si>
  <si>
    <t xml:space="preserve"> ウ 減 価 償 却 費</t>
  </si>
  <si>
    <t xml:space="preserve"> エ その他医業費用</t>
  </si>
  <si>
    <t xml:space="preserve"> ア 支  払  利  息</t>
  </si>
  <si>
    <t xml:space="preserve"> イ 企業債取扱諸費</t>
  </si>
  <si>
    <t xml:space="preserve"> ウ 看 護 学 院 費</t>
  </si>
  <si>
    <t xml:space="preserve"> エ 繰 延 勘 定 償 却</t>
  </si>
  <si>
    <t xml:space="preserve"> オ その他医業外費用</t>
  </si>
  <si>
    <t xml:space="preserve"> ３ 経   常   利   益</t>
  </si>
  <si>
    <t xml:space="preserve"> ４ 経   常   損   失 (△)</t>
  </si>
  <si>
    <t xml:space="preserve"> ５ 特   別   利   益</t>
  </si>
  <si>
    <t xml:space="preserve"> (１) 他会計繰入金</t>
  </si>
  <si>
    <t xml:space="preserve"> (２) 固定資産売却益</t>
  </si>
  <si>
    <t xml:space="preserve"> (３) そ  の  他</t>
  </si>
  <si>
    <t xml:space="preserve"> (１) 職 員 給 与 費</t>
  </si>
  <si>
    <t xml:space="preserve"> (２) そ   の   他</t>
  </si>
  <si>
    <t xml:space="preserve"> ７ 純    利    益</t>
  </si>
  <si>
    <t xml:space="preserve"> ８ 純    損    失   (△)</t>
  </si>
  <si>
    <t xml:space="preserve"> ９ 前年度繰越利益剰余金　</t>
  </si>
  <si>
    <t xml:space="preserve">    または欠損金</t>
  </si>
  <si>
    <t>収益費用構成表</t>
  </si>
  <si>
    <t xml:space="preserve">  団     体     名</t>
  </si>
  <si>
    <t xml:space="preserve">  項          目</t>
  </si>
  <si>
    <t>１</t>
  </si>
  <si>
    <t xml:space="preserve"> (１) 基      本      給</t>
  </si>
  <si>
    <t xml:space="preserve"> (２) 手              当</t>
  </si>
  <si>
    <t xml:space="preserve"> (３) 賃              金</t>
  </si>
  <si>
    <t>給</t>
  </si>
  <si>
    <t xml:space="preserve"> (４) 退  職  給  与  金</t>
  </si>
  <si>
    <t>与</t>
  </si>
  <si>
    <t xml:space="preserve"> (５) 法  定  福  利  費</t>
  </si>
  <si>
    <t>費</t>
  </si>
  <si>
    <t xml:space="preserve"> (６)         計</t>
  </si>
  <si>
    <t xml:space="preserve"> (３) その他借入金利息</t>
  </si>
  <si>
    <t xml:space="preserve"> ４ 光     熱     水     費</t>
  </si>
  <si>
    <t xml:space="preserve"> ５ 通   信   運   搬   費</t>
  </si>
  <si>
    <t xml:space="preserve"> ６ 修        繕        費</t>
  </si>
  <si>
    <t xml:space="preserve"> ８</t>
  </si>
  <si>
    <t>(１)</t>
  </si>
  <si>
    <t xml:space="preserve"> ア 投          薬</t>
  </si>
  <si>
    <t>医</t>
  </si>
  <si>
    <t xml:space="preserve"> イ 注          射</t>
  </si>
  <si>
    <t>療材</t>
  </si>
  <si>
    <t xml:space="preserve"> ウ 小          計</t>
  </si>
  <si>
    <t xml:space="preserve"> (２) その他医療材料費</t>
  </si>
  <si>
    <t xml:space="preserve"> (３)        計</t>
  </si>
  <si>
    <t>１０ そ       の       他</t>
  </si>
  <si>
    <t>１１ 費     用     合     計</t>
  </si>
  <si>
    <t xml:space="preserve">  投   薬   収   入</t>
  </si>
  <si>
    <t>入</t>
  </si>
  <si>
    <t xml:space="preserve">  注   射   収   入</t>
  </si>
  <si>
    <t xml:space="preserve">  処置及び手術収入</t>
  </si>
  <si>
    <t>診</t>
  </si>
  <si>
    <t xml:space="preserve">  検   査   収   入</t>
  </si>
  <si>
    <t xml:space="preserve"> 放  射  線  収  入</t>
  </si>
  <si>
    <t xml:space="preserve">  入     院     料</t>
  </si>
  <si>
    <t>療</t>
  </si>
  <si>
    <t>院</t>
  </si>
  <si>
    <t xml:space="preserve"> 入院時食事療養収入</t>
  </si>
  <si>
    <t xml:space="preserve"> そ  の  他  収  入</t>
  </si>
  <si>
    <t xml:space="preserve">  初     診     料</t>
  </si>
  <si>
    <t>収</t>
  </si>
  <si>
    <t>外</t>
  </si>
  <si>
    <t xml:space="preserve">  再     診     料</t>
  </si>
  <si>
    <t>来</t>
  </si>
  <si>
    <t>貸借対照表</t>
  </si>
  <si>
    <t>(単位：千円)</t>
  </si>
  <si>
    <t xml:space="preserve">        団    体    名</t>
  </si>
  <si>
    <t>ア 土          地</t>
  </si>
  <si>
    <t>イ 償  却  資  産</t>
  </si>
  <si>
    <t>ウ 減価償却累計額  (△)</t>
  </si>
  <si>
    <t>エ 建 設 仮 勘 定</t>
  </si>
  <si>
    <t>(１) 現  金  預  金</t>
  </si>
  <si>
    <t>(２) 未    収    金</t>
  </si>
  <si>
    <t>(３) 貯    蔵    品</t>
  </si>
  <si>
    <t>(４) 短期有価証券</t>
  </si>
  <si>
    <t xml:space="preserve"> ４ 資    産    合    計</t>
  </si>
  <si>
    <t xml:space="preserve"> ５ 固    定    負    債</t>
  </si>
  <si>
    <t>(１) 企    業    債</t>
  </si>
  <si>
    <t>(３) 他会計借入金</t>
  </si>
  <si>
    <t>(４) 引    当    金</t>
  </si>
  <si>
    <t>(５) そ    の    他</t>
  </si>
  <si>
    <t>(１) 一 時 借 入 金</t>
  </si>
  <si>
    <t>(２) 未払金・未払費用</t>
  </si>
  <si>
    <t>(３) そ    の    他</t>
  </si>
  <si>
    <t xml:space="preserve"> ７ 負    債    合    計</t>
  </si>
  <si>
    <t xml:space="preserve"> ８ 資       本       金</t>
  </si>
  <si>
    <t>ア 固 有 資 本 金</t>
  </si>
  <si>
    <t>イ 再評価組入資本金</t>
  </si>
  <si>
    <t>ウ 繰 入 資 本 金</t>
  </si>
  <si>
    <t>エ 組 入 資 本 金</t>
  </si>
  <si>
    <t>ア 企    業    債</t>
  </si>
  <si>
    <t>イ 他会計借入金</t>
  </si>
  <si>
    <t>ア 国 庫 補 助 金</t>
  </si>
  <si>
    <t>ウ 工  事  負  担  金</t>
  </si>
  <si>
    <t>エ 再 評 価 積 立 金</t>
  </si>
  <si>
    <t>オ そ     の     他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</si>
  <si>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</si>
  <si>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</si>
  <si>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</si>
  <si>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</si>
  <si>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</si>
  <si>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１０ 資   本   合   計</t>
  </si>
  <si>
    <t>１２ 不   良   債   務</t>
  </si>
  <si>
    <t>１３ 実 質 資 金 不 足 額</t>
  </si>
  <si>
    <t>資本的収支に関する調</t>
  </si>
  <si>
    <t>資</t>
  </si>
  <si>
    <t>本</t>
  </si>
  <si>
    <t>的</t>
  </si>
  <si>
    <t xml:space="preserve"> (11)翌年度繰越財源等(△)</t>
  </si>
  <si>
    <t>２</t>
  </si>
  <si>
    <t xml:space="preserve">     うち 職員給与費等</t>
  </si>
  <si>
    <t>支</t>
  </si>
  <si>
    <t>出</t>
  </si>
  <si>
    <t>４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</si>
  <si>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</si>
  <si>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</si>
  <si>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</si>
  <si>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</si>
  <si>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</si>
  <si>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</si>
  <si>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</si>
  <si>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>財</t>
  </si>
  <si>
    <t xml:space="preserve"> そ    の    他</t>
  </si>
  <si>
    <t>源</t>
  </si>
  <si>
    <t>経営分析表</t>
  </si>
  <si>
    <t xml:space="preserve">        団     体     名</t>
  </si>
  <si>
    <t xml:space="preserve"> 投        薬          (円)</t>
  </si>
  <si>
    <t xml:space="preserve"> 注        射          (円)</t>
  </si>
  <si>
    <t>診療収入</t>
  </si>
  <si>
    <t xml:space="preserve"> 投 薬 注 射 収 入     (％)</t>
  </si>
  <si>
    <t>に対する</t>
  </si>
  <si>
    <t xml:space="preserve"> 検   査   収   入     (％)</t>
  </si>
  <si>
    <t xml:space="preserve"> 割 合</t>
  </si>
  <si>
    <t xml:space="preserve"> 放  射  線  収  入    (％)</t>
  </si>
  <si>
    <t>繰入金に関する調（１）</t>
  </si>
  <si>
    <t xml:space="preserve"> 収  益  勘  定  繰  入  金</t>
  </si>
  <si>
    <t xml:space="preserve"> 医   業   収   益</t>
  </si>
  <si>
    <t xml:space="preserve"> 他 会 計 負 担 金</t>
  </si>
  <si>
    <t>基 準 額</t>
  </si>
  <si>
    <t>実繰入額</t>
  </si>
  <si>
    <t xml:space="preserve"> 救  急  病  院</t>
  </si>
  <si>
    <t xml:space="preserve"> 保健衛生行政</t>
  </si>
  <si>
    <t xml:space="preserve"> 医  業  外  収  益</t>
  </si>
  <si>
    <t xml:space="preserve"> 他 会 計 補 助 金</t>
  </si>
  <si>
    <t xml:space="preserve"> 研究・経営研修費</t>
  </si>
  <si>
    <t xml:space="preserve"> 基礎年金拠出金</t>
  </si>
  <si>
    <t xml:space="preserve">     公的負担経費</t>
  </si>
  <si>
    <t xml:space="preserve"> 災 害 復 旧 費</t>
  </si>
  <si>
    <t xml:space="preserve"> 建  設  改  良</t>
  </si>
  <si>
    <t xml:space="preserve"> へ き 地 医 療</t>
  </si>
  <si>
    <t xml:space="preserve"> 不 採 算 地 区</t>
  </si>
  <si>
    <t xml:space="preserve"> 結  核  病  院</t>
  </si>
  <si>
    <t xml:space="preserve"> ﾘﾊﾋﾞﾘﾃｰｼｮﾝ医療</t>
  </si>
  <si>
    <t>繰入金に関する調（２）</t>
  </si>
  <si>
    <t xml:space="preserve"> 附 属 診 療 所</t>
  </si>
  <si>
    <t xml:space="preserve"> 高  度  医  療</t>
  </si>
  <si>
    <t xml:space="preserve"> 特    別    利    益</t>
  </si>
  <si>
    <t xml:space="preserve"> 他 会 計 繰 入 金</t>
  </si>
  <si>
    <t xml:space="preserve"> 資  本  勘  定  繰  入  金</t>
  </si>
  <si>
    <t xml:space="preserve"> 他 会 計 出 資 金</t>
  </si>
  <si>
    <t>（建設改良費）</t>
  </si>
  <si>
    <t xml:space="preserve"> 繰    入    金    計</t>
  </si>
  <si>
    <t xml:space="preserve"> 基 準 外 繰 入 金   合   計</t>
  </si>
  <si>
    <t>　年延病床数</t>
  </si>
  <si>
    <r>
      <t xml:space="preserve"> 他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借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</si>
  <si>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 xml:space="preserve"> 看護師養成所</t>
  </si>
  <si>
    <t>療　　　養</t>
  </si>
  <si>
    <t xml:space="preserve"> 小　児  医  療</t>
  </si>
  <si>
    <t>志摩市</t>
  </si>
  <si>
    <t>伊賀市</t>
  </si>
  <si>
    <t>大台町</t>
  </si>
  <si>
    <t>南伊勢町</t>
  </si>
  <si>
    <t>　四日市病院</t>
  </si>
  <si>
    <t>　伊勢総合病院</t>
  </si>
  <si>
    <t>南伊勢病院</t>
  </si>
  <si>
    <t xml:space="preserve">  年延外来患者数     (人)</t>
  </si>
  <si>
    <t xml:space="preserve">  年延入院患者数     (人)</t>
  </si>
  <si>
    <t xml:space="preserve">  在籍人数    (人)</t>
  </si>
  <si>
    <t xml:space="preserve">  定    数    (人)</t>
  </si>
  <si>
    <t xml:space="preserve"> 木    造     (㎡)</t>
  </si>
  <si>
    <t xml:space="preserve"> 耐 火 構 造  (㎡)</t>
  </si>
  <si>
    <t xml:space="preserve"> 鉄筋ｺﾝｸﾘｰﾄ   (㎡)</t>
  </si>
  <si>
    <t>カ 当年度未処理欠損金(△)</t>
  </si>
  <si>
    <r>
      <t xml:space="preserve"> 病   床   利   用 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</si>
  <si>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１ 日 平 均 患 者 数 （通 院）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(人)</t>
    </r>
  </si>
  <si>
    <r>
      <t xml:space="preserve"> 入        院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(円)</t>
    </r>
  </si>
  <si>
    <r>
      <t xml:space="preserve"> 外        来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(円)</t>
    </r>
  </si>
  <si>
    <r>
      <t xml:space="preserve"> 患者１人１日当り薬品費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(円)</t>
    </r>
  </si>
  <si>
    <r>
      <t xml:space="preserve"> 入院患者１人１日当り給食材料費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(円)</t>
    </r>
  </si>
  <si>
    <r>
      <t xml:space="preserve"> 投 薬 薬 品 使 用 効 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</si>
  <si>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注 射 薬 品 使 用 効 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</si>
  <si>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職員給与費対医業収益比率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</si>
  <si>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医療材料費対医業収益比率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</si>
  <si>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薬品費医業収益比率 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(％)</t>
    </r>
  </si>
  <si>
    <r>
      <t xml:space="preserve"> 職員１人１日当り診療収入(医師)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(円)　</t>
    </r>
  </si>
  <si>
    <r>
      <t xml:space="preserve"> 職員１人１日当り診療収入(看護)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(円)</t>
    </r>
  </si>
  <si>
    <r>
      <t xml:space="preserve"> 自 己 資 本 構 成 比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</si>
  <si>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固定資産対長期資本比率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</si>
  <si>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固     定     比    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</si>
  <si>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流     動     比    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</si>
  <si>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総   収   支   比  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</si>
  <si>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経  常  収  支  比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</si>
  <si>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医  業  収  支  比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</si>
  <si>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累 積 欠 損 金 比 率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</si>
  <si>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不  良  債  務  比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</si>
  <si>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利   子   負   担   率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(％)</t>
    </r>
  </si>
  <si>
    <r>
      <t xml:space="preserve"> 企  業  債  現  在  高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(千円)</t>
    </r>
  </si>
  <si>
    <t>感 　染　症</t>
  </si>
  <si>
    <t xml:space="preserve">  看  護  の  配　置</t>
  </si>
  <si>
    <t>感　染　症</t>
  </si>
  <si>
    <t>イ 県　補　助　金</t>
  </si>
  <si>
    <r>
      <t xml:space="preserve"> </t>
    </r>
    <r>
      <rPr>
        <sz val="14"/>
        <rFont val="ＭＳ 明朝"/>
        <family val="1"/>
      </rPr>
      <t>児　童　手　当</t>
    </r>
  </si>
  <si>
    <r>
      <t xml:space="preserve"> 精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神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科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院</t>
    </r>
  </si>
  <si>
    <r>
      <t>１１ 負 債 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資 本 合 計</t>
    </r>
  </si>
  <si>
    <t xml:space="preserve"> １ 総     収     益</t>
  </si>
  <si>
    <t xml:space="preserve"> (１) 医  業  収  益</t>
  </si>
  <si>
    <t xml:space="preserve"> ア 入  院  収  益</t>
  </si>
  <si>
    <t xml:space="preserve"> イ 外  来  収  益</t>
  </si>
  <si>
    <t xml:space="preserve"> ウ その他医業収益</t>
  </si>
  <si>
    <t xml:space="preserve"> (ア) 他会計負担金</t>
  </si>
  <si>
    <t xml:space="preserve"> (イ) その他医業収益</t>
  </si>
  <si>
    <t xml:space="preserve"> (２) 医 業 外 収 益</t>
  </si>
  <si>
    <t xml:space="preserve"> ２ 総     費     用</t>
  </si>
  <si>
    <t xml:space="preserve"> (１) 医  業  費  用</t>
  </si>
  <si>
    <t xml:space="preserve"> (２) 医 業 外 費 用</t>
  </si>
  <si>
    <t xml:space="preserve"> ６ 特   別   損   失</t>
  </si>
  <si>
    <t>１０当年度未処分利益剰余金</t>
  </si>
  <si>
    <t xml:space="preserve">    または欠損金</t>
  </si>
  <si>
    <t xml:space="preserve"> ２ 支    払    利    息</t>
  </si>
  <si>
    <t xml:space="preserve"> ３ 減   価   償   却   費</t>
  </si>
  <si>
    <t xml:space="preserve"> ７ 委        託        料</t>
  </si>
  <si>
    <t xml:space="preserve"> １ 固    定    資    産</t>
  </si>
  <si>
    <t>(１) 有 形 固 定 資 産</t>
  </si>
  <si>
    <t>(２) 無 形 固 定 資 産</t>
  </si>
  <si>
    <t>(３) 投          資</t>
  </si>
  <si>
    <t xml:space="preserve"> ２ 流    動    資    産</t>
  </si>
  <si>
    <t xml:space="preserve"> ３ 繰    延    勘    定</t>
  </si>
  <si>
    <t xml:space="preserve"> ６ 流    動    負    債</t>
  </si>
  <si>
    <t>(１) 自 己 資 本 金</t>
  </si>
  <si>
    <t>(２) 借 入 資 本 金</t>
  </si>
  <si>
    <t xml:space="preserve"> ９ 剰      余      金</t>
  </si>
  <si>
    <t>(１) 資  本  剰  余  金</t>
  </si>
  <si>
    <t>(２) 利  益  剰  余  金</t>
  </si>
  <si>
    <t xml:space="preserve"> ５ 補てん財源不足額  (△)</t>
  </si>
  <si>
    <r>
      <t xml:space="preserve"> 外 来 入 院 患 者 比 率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(％)</t>
    </r>
  </si>
  <si>
    <r>
      <t xml:space="preserve"> １ 日 平 均 患 者 数 （入 院）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(人)</t>
    </r>
  </si>
  <si>
    <r>
      <t xml:space="preserve"> 患者１人１日当り診療収入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(円)</t>
    </r>
  </si>
  <si>
    <r>
      <t xml:space="preserve"> 院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保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育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所</t>
    </r>
  </si>
  <si>
    <t>志摩市民病院</t>
  </si>
  <si>
    <t>名張市立病院</t>
  </si>
  <si>
    <t>○</t>
  </si>
  <si>
    <t>－</t>
  </si>
  <si>
    <t xml:space="preserve"> 市立</t>
  </si>
  <si>
    <t xml:space="preserve"> 市立</t>
  </si>
  <si>
    <t xml:space="preserve"> 国民健康保険</t>
  </si>
  <si>
    <t xml:space="preserve"> 国民健康保険</t>
  </si>
  <si>
    <t xml:space="preserve"> 町立</t>
  </si>
  <si>
    <t>　松阪市民病院</t>
  </si>
  <si>
    <t>　桑名市民病院</t>
  </si>
  <si>
    <t>　名張市立病院</t>
  </si>
  <si>
    <t>　尾鷲総合病院</t>
  </si>
  <si>
    <t>　医療センター</t>
  </si>
  <si>
    <t>　志摩市民病院</t>
  </si>
  <si>
    <t>　報徳病院</t>
  </si>
  <si>
    <t>　玉城病院</t>
  </si>
  <si>
    <t>　南伊勢病院</t>
  </si>
  <si>
    <t>　紀南病院</t>
  </si>
  <si>
    <t>上野総合市民病院</t>
  </si>
  <si>
    <t xml:space="preserve"> 四日市病院</t>
  </si>
  <si>
    <t xml:space="preserve"> 伊勢総合病院</t>
  </si>
  <si>
    <t xml:space="preserve"> 松阪市民病院</t>
  </si>
  <si>
    <t xml:space="preserve"> 名張市立病院</t>
  </si>
  <si>
    <t xml:space="preserve"> 尾鷲総合病院</t>
  </si>
  <si>
    <t xml:space="preserve"> 医療センター</t>
  </si>
  <si>
    <t xml:space="preserve"> 志摩市民病院</t>
  </si>
  <si>
    <t xml:space="preserve"> 報徳病院</t>
  </si>
  <si>
    <t xml:space="preserve"> 玉城病院</t>
  </si>
  <si>
    <t xml:space="preserve"> 南伊勢病院</t>
  </si>
  <si>
    <t xml:space="preserve"> 紀南病院</t>
  </si>
  <si>
    <t>品</t>
  </si>
  <si>
    <t xml:space="preserve"> 料</t>
  </si>
  <si>
    <t xml:space="preserve"> 費</t>
  </si>
  <si>
    <t>薬費</t>
  </si>
  <si>
    <r>
      <t xml:space="preserve"> ９ 給 食 材 料 費  (患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用)</t>
    </r>
  </si>
  <si>
    <t>計</t>
  </si>
  <si>
    <t>市立</t>
  </si>
  <si>
    <t>国民健康保険</t>
  </si>
  <si>
    <t>市立</t>
  </si>
  <si>
    <t>町立</t>
  </si>
  <si>
    <t>四日市病院</t>
  </si>
  <si>
    <t>伊勢総合病院</t>
  </si>
  <si>
    <t>(５) そ    の    他</t>
  </si>
  <si>
    <r>
      <t xml:space="preserve"> (1)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企    業    債</t>
    </r>
  </si>
  <si>
    <t>上野総合市民病院</t>
  </si>
  <si>
    <r>
      <t xml:space="preserve"> </t>
    </r>
    <r>
      <rPr>
        <sz val="14"/>
        <rFont val="ＭＳ 明朝"/>
        <family val="1"/>
      </rPr>
      <t>(2)</t>
    </r>
    <r>
      <rPr>
        <sz val="14"/>
        <rFont val="ＭＳ 明朝"/>
        <family val="1"/>
      </rPr>
      <t xml:space="preserve"> 他 会 計 出 資 金</t>
    </r>
  </si>
  <si>
    <r>
      <t xml:space="preserve"> </t>
    </r>
    <r>
      <rPr>
        <sz val="14"/>
        <rFont val="ＭＳ 明朝"/>
        <family val="1"/>
      </rPr>
      <t>(3)</t>
    </r>
    <r>
      <rPr>
        <sz val="14"/>
        <rFont val="ＭＳ 明朝"/>
        <family val="1"/>
      </rPr>
      <t xml:space="preserve"> 他 会 計 負 担 金</t>
    </r>
  </si>
  <si>
    <t xml:space="preserve"> (4) 他 会 計 借 入 金</t>
  </si>
  <si>
    <t xml:space="preserve"> (5) 他 会 計 補 助 金</t>
  </si>
  <si>
    <t xml:space="preserve"> (6) 固定資産売却代金</t>
  </si>
  <si>
    <t xml:space="preserve"> (7) 国 庫 補 助 金</t>
  </si>
  <si>
    <t xml:space="preserve"> (8) 県　補　助　金</t>
  </si>
  <si>
    <t xml:space="preserve"> (9) 工 事 負 担 金</t>
  </si>
  <si>
    <t xml:space="preserve"> (10)そ    の    他</t>
  </si>
  <si>
    <t xml:space="preserve"> (1) 建 設 改 良 費</t>
  </si>
  <si>
    <t>うち 職員給与費</t>
  </si>
  <si>
    <t xml:space="preserve"> (2) 企業債償還金</t>
  </si>
  <si>
    <t xml:space="preserve"> (4) 他会計への支出金</t>
  </si>
  <si>
    <t xml:space="preserve"> (5) そ    の    他</t>
  </si>
  <si>
    <r>
      <t xml:space="preserve"> </t>
    </r>
    <r>
      <rPr>
        <sz val="14"/>
        <rFont val="ＭＳ 明朝"/>
        <family val="1"/>
      </rPr>
      <t xml:space="preserve">(3) 他会計からの長期
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借入金返還額</t>
    </r>
  </si>
  <si>
    <t>計</t>
  </si>
  <si>
    <r>
      <t xml:space="preserve"> ３ 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引 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不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足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(△)</t>
    </r>
  </si>
  <si>
    <t>純        計</t>
  </si>
  <si>
    <t>　入院診療日数</t>
  </si>
  <si>
    <t>　外来診療日数</t>
  </si>
  <si>
    <t>　医  業  収  益</t>
  </si>
  <si>
    <t>　入  院  収  益</t>
  </si>
  <si>
    <t>　外  来  収  益</t>
  </si>
  <si>
    <t>平 均</t>
  </si>
  <si>
    <t>尾鷲総合病院</t>
  </si>
  <si>
    <t xml:space="preserve">  　　　　　うち一般患者</t>
  </si>
  <si>
    <t xml:space="preserve">  　　　　　うち一般病床</t>
  </si>
  <si>
    <t>　薬品費：投薬分</t>
  </si>
  <si>
    <t>　薬品費：注射分</t>
  </si>
  <si>
    <t>　薬品費：合　計</t>
  </si>
  <si>
    <t>　給食材料費（患者用）</t>
  </si>
  <si>
    <t>　薬品収入（投薬分）</t>
  </si>
  <si>
    <t>　薬品収入（注射分）</t>
  </si>
  <si>
    <t xml:space="preserve">  入院：投薬収入</t>
  </si>
  <si>
    <t xml:space="preserve">  入院：注射収入</t>
  </si>
  <si>
    <t xml:space="preserve">  外来：投薬収入</t>
  </si>
  <si>
    <t xml:space="preserve">  外来：注射収入</t>
  </si>
  <si>
    <t xml:space="preserve">  入院：検査収入</t>
  </si>
  <si>
    <t xml:space="preserve">  外来：検査収入</t>
  </si>
  <si>
    <t xml:space="preserve">  入院：放射線収入</t>
  </si>
  <si>
    <t xml:space="preserve">  外来：放射線収入</t>
  </si>
  <si>
    <t>　職 員 給 与 費</t>
  </si>
  <si>
    <t>　医 療 材 料 費</t>
  </si>
  <si>
    <t>　薬 品 費</t>
  </si>
  <si>
    <t>　年 延 医 師 数</t>
  </si>
  <si>
    <t>　年 延 看 護 職 員 数</t>
  </si>
  <si>
    <t>　自 己 資 本 金</t>
  </si>
  <si>
    <t>　剰    余    金</t>
  </si>
  <si>
    <t>　負 債 ・資 本 合 計</t>
  </si>
  <si>
    <t xml:space="preserve">  固  定  資  産</t>
  </si>
  <si>
    <t xml:space="preserve">  固  定  負  債</t>
  </si>
  <si>
    <t xml:space="preserve">  流　動  資  産</t>
  </si>
  <si>
    <t xml:space="preserve">  流　動  負　債</t>
  </si>
  <si>
    <t>　資  本  合  計</t>
  </si>
  <si>
    <t xml:space="preserve">  総　収　益</t>
  </si>
  <si>
    <t>　総  費　用</t>
  </si>
  <si>
    <t xml:space="preserve">  医　業　収　益</t>
  </si>
  <si>
    <t>　医　業  費　用</t>
  </si>
  <si>
    <t xml:space="preserve">  医　業　外　収　益</t>
  </si>
  <si>
    <t>　医　業　外  費　用</t>
  </si>
  <si>
    <t xml:space="preserve">  累　積　欠　損　金</t>
  </si>
  <si>
    <t>　不　良　債　務</t>
  </si>
  <si>
    <t>　固 定 負 債 ・ 企 業 債</t>
  </si>
  <si>
    <t>　　　　　　　　他会計借入金</t>
  </si>
  <si>
    <t>　一　時　借　入　金</t>
  </si>
  <si>
    <t>　借　入　資　本　金</t>
  </si>
  <si>
    <t>　支　払　利　息</t>
  </si>
  <si>
    <t>　企 業 債 取 扱 諸 費</t>
  </si>
  <si>
    <t>(２) 公立病院特例債</t>
  </si>
  <si>
    <r>
      <t>0</t>
    </r>
    <r>
      <rPr>
        <sz val="14"/>
        <rFont val="ＭＳ 明朝"/>
        <family val="1"/>
      </rPr>
      <t>1_25列</t>
    </r>
  </si>
  <si>
    <r>
      <t>0</t>
    </r>
    <r>
      <rPr>
        <sz val="14"/>
        <rFont val="ＭＳ 明朝"/>
        <family val="1"/>
      </rPr>
      <t>1_26列</t>
    </r>
  </si>
  <si>
    <r>
      <t>0</t>
    </r>
    <r>
      <rPr>
        <sz val="14"/>
        <rFont val="ＭＳ 明朝"/>
        <family val="1"/>
      </rPr>
      <t>1_31列</t>
    </r>
  </si>
  <si>
    <r>
      <t>0</t>
    </r>
    <r>
      <rPr>
        <sz val="14"/>
        <rFont val="ＭＳ 明朝"/>
        <family val="1"/>
      </rPr>
      <t>1_17列*A</t>
    </r>
  </si>
  <si>
    <r>
      <t>(</t>
    </r>
    <r>
      <rPr>
        <sz val="14"/>
        <rFont val="ＭＳ 明朝"/>
        <family val="1"/>
      </rPr>
      <t>09-01-29)A</t>
    </r>
  </si>
  <si>
    <r>
      <t>(</t>
    </r>
    <r>
      <rPr>
        <sz val="14"/>
        <rFont val="ＭＳ 明朝"/>
        <family val="1"/>
      </rPr>
      <t>09-01-31)</t>
    </r>
  </si>
  <si>
    <r>
      <t>0</t>
    </r>
    <r>
      <rPr>
        <sz val="14"/>
        <rFont val="ＭＳ 明朝"/>
        <family val="1"/>
      </rPr>
      <t>1_12列*A</t>
    </r>
  </si>
  <si>
    <r>
      <t>0</t>
    </r>
    <r>
      <rPr>
        <sz val="14"/>
        <rFont val="ＭＳ 明朝"/>
        <family val="1"/>
      </rPr>
      <t>2_10列</t>
    </r>
  </si>
  <si>
    <r>
      <t>0</t>
    </r>
    <r>
      <rPr>
        <sz val="14"/>
        <rFont val="ＭＳ 明朝"/>
        <family val="1"/>
      </rPr>
      <t>2_11列</t>
    </r>
  </si>
  <si>
    <r>
      <t>0</t>
    </r>
    <r>
      <rPr>
        <sz val="14"/>
        <rFont val="ＭＳ 明朝"/>
        <family val="1"/>
      </rPr>
      <t>2_12列</t>
    </r>
  </si>
  <si>
    <r>
      <t>0</t>
    </r>
    <r>
      <rPr>
        <sz val="14"/>
        <rFont val="ＭＳ 明朝"/>
        <family val="1"/>
      </rPr>
      <t>3_24列</t>
    </r>
  </si>
  <si>
    <r>
      <t>0</t>
    </r>
    <r>
      <rPr>
        <sz val="14"/>
        <rFont val="ＭＳ 明朝"/>
        <family val="1"/>
      </rPr>
      <t>3_25列</t>
    </r>
  </si>
  <si>
    <r>
      <t>0</t>
    </r>
    <r>
      <rPr>
        <sz val="14"/>
        <rFont val="ＭＳ 明朝"/>
        <family val="1"/>
      </rPr>
      <t>3_29列</t>
    </r>
  </si>
  <si>
    <r>
      <t>0</t>
    </r>
    <r>
      <rPr>
        <sz val="14"/>
        <rFont val="ＭＳ 明朝"/>
        <family val="1"/>
      </rPr>
      <t>3_32列 C</t>
    </r>
  </si>
  <si>
    <r>
      <t>0</t>
    </r>
    <r>
      <rPr>
        <sz val="14"/>
        <rFont val="ＭＳ 明朝"/>
        <family val="1"/>
      </rPr>
      <t>3_33列 D</t>
    </r>
  </si>
  <si>
    <r>
      <t>0</t>
    </r>
    <r>
      <rPr>
        <sz val="14"/>
        <rFont val="ＭＳ 明朝"/>
        <family val="1"/>
      </rPr>
      <t>3_43列 E</t>
    </r>
  </si>
  <si>
    <r>
      <t>C</t>
    </r>
    <r>
      <rPr>
        <sz val="14"/>
        <rFont val="ＭＳ 明朝"/>
        <family val="1"/>
      </rPr>
      <t>+E</t>
    </r>
  </si>
  <si>
    <r>
      <t>0</t>
    </r>
    <r>
      <rPr>
        <sz val="14"/>
        <rFont val="ＭＳ 明朝"/>
        <family val="1"/>
      </rPr>
      <t>3_44列 F</t>
    </r>
  </si>
  <si>
    <r>
      <t>D</t>
    </r>
    <r>
      <rPr>
        <sz val="14"/>
        <rFont val="ＭＳ 明朝"/>
        <family val="1"/>
      </rPr>
      <t>+F</t>
    </r>
  </si>
  <si>
    <r>
      <t>0</t>
    </r>
    <r>
      <rPr>
        <sz val="14"/>
        <rFont val="ＭＳ 明朝"/>
        <family val="1"/>
      </rPr>
      <t>3_35列</t>
    </r>
  </si>
  <si>
    <r>
      <t>0</t>
    </r>
    <r>
      <rPr>
        <sz val="14"/>
        <rFont val="ＭＳ 明朝"/>
        <family val="1"/>
      </rPr>
      <t>3_46列</t>
    </r>
  </si>
  <si>
    <r>
      <t>0</t>
    </r>
    <r>
      <rPr>
        <sz val="14"/>
        <rFont val="ＭＳ 明朝"/>
        <family val="1"/>
      </rPr>
      <t>3_36列</t>
    </r>
  </si>
  <si>
    <r>
      <t>0</t>
    </r>
    <r>
      <rPr>
        <sz val="14"/>
        <rFont val="ＭＳ 明朝"/>
        <family val="1"/>
      </rPr>
      <t>3_47列</t>
    </r>
  </si>
  <si>
    <r>
      <t>0</t>
    </r>
    <r>
      <rPr>
        <sz val="14"/>
        <rFont val="ＭＳ 明朝"/>
        <family val="1"/>
      </rPr>
      <t>3_14列</t>
    </r>
  </si>
  <si>
    <r>
      <t>0</t>
    </r>
    <r>
      <rPr>
        <sz val="14"/>
        <rFont val="ＭＳ 明朝"/>
        <family val="1"/>
      </rPr>
      <t>3_28列</t>
    </r>
  </si>
  <si>
    <r>
      <t>0</t>
    </r>
    <r>
      <rPr>
        <sz val="14"/>
        <rFont val="ＭＳ 明朝"/>
        <family val="1"/>
      </rPr>
      <t>3_26列</t>
    </r>
  </si>
  <si>
    <r>
      <t>0</t>
    </r>
    <r>
      <rPr>
        <sz val="14"/>
        <rFont val="ＭＳ 明朝"/>
        <family val="1"/>
      </rPr>
      <t>4_37列</t>
    </r>
  </si>
  <si>
    <r>
      <t>0</t>
    </r>
    <r>
      <rPr>
        <sz val="14"/>
        <rFont val="ＭＳ 明朝"/>
        <family val="1"/>
      </rPr>
      <t>4_45列</t>
    </r>
  </si>
  <si>
    <r>
      <t>0</t>
    </r>
    <r>
      <rPr>
        <sz val="14"/>
        <rFont val="ＭＳ 明朝"/>
        <family val="1"/>
      </rPr>
      <t>4_60列</t>
    </r>
  </si>
  <si>
    <r>
      <t>0</t>
    </r>
    <r>
      <rPr>
        <sz val="14"/>
        <rFont val="ＭＳ 明朝"/>
        <family val="1"/>
      </rPr>
      <t>4_61列</t>
    </r>
  </si>
  <si>
    <r>
      <t>0</t>
    </r>
    <r>
      <rPr>
        <sz val="14"/>
        <rFont val="ＭＳ 明朝"/>
        <family val="1"/>
      </rPr>
      <t>4_09列</t>
    </r>
  </si>
  <si>
    <r>
      <t>0</t>
    </r>
    <r>
      <rPr>
        <sz val="14"/>
        <rFont val="ＭＳ 明朝"/>
        <family val="1"/>
      </rPr>
      <t>4_25列</t>
    </r>
  </si>
  <si>
    <r>
      <t>(</t>
    </r>
    <r>
      <rPr>
        <sz val="14"/>
        <rFont val="ＭＳ 明朝"/>
        <family val="1"/>
      </rPr>
      <t>27-01-13)</t>
    </r>
  </si>
  <si>
    <r>
      <t>(</t>
    </r>
    <r>
      <rPr>
        <sz val="14"/>
        <rFont val="ＭＳ 明朝"/>
        <family val="1"/>
      </rPr>
      <t>27-01-14)</t>
    </r>
  </si>
  <si>
    <r>
      <t>0</t>
    </r>
    <r>
      <rPr>
        <sz val="14"/>
        <rFont val="ＭＳ 明朝"/>
        <family val="1"/>
      </rPr>
      <t>4_17列</t>
    </r>
  </si>
  <si>
    <r>
      <t>0</t>
    </r>
    <r>
      <rPr>
        <sz val="14"/>
        <rFont val="ＭＳ 明朝"/>
        <family val="1"/>
      </rPr>
      <t>4_31列</t>
    </r>
  </si>
  <si>
    <r>
      <t>0</t>
    </r>
    <r>
      <rPr>
        <sz val="14"/>
        <rFont val="ＭＳ 明朝"/>
        <family val="1"/>
      </rPr>
      <t>4_32列</t>
    </r>
  </si>
  <si>
    <r>
      <t>0</t>
    </r>
    <r>
      <rPr>
        <sz val="14"/>
        <rFont val="ＭＳ 明朝"/>
        <family val="1"/>
      </rPr>
      <t>4_59列</t>
    </r>
  </si>
  <si>
    <r>
      <t>0</t>
    </r>
    <r>
      <rPr>
        <sz val="14"/>
        <rFont val="ＭＳ 明朝"/>
        <family val="1"/>
      </rPr>
      <t>2_09列</t>
    </r>
  </si>
  <si>
    <r>
      <t>0</t>
    </r>
    <r>
      <rPr>
        <sz val="14"/>
        <rFont val="ＭＳ 明朝"/>
        <family val="1"/>
      </rPr>
      <t>2_24列</t>
    </r>
  </si>
  <si>
    <r>
      <t>0</t>
    </r>
    <r>
      <rPr>
        <sz val="14"/>
        <rFont val="ＭＳ 明朝"/>
        <family val="1"/>
      </rPr>
      <t>2_25列</t>
    </r>
  </si>
  <si>
    <r>
      <t>0</t>
    </r>
    <r>
      <rPr>
        <sz val="14"/>
        <rFont val="ＭＳ 明朝"/>
        <family val="1"/>
      </rPr>
      <t>2_16列</t>
    </r>
  </si>
  <si>
    <r>
      <t>0</t>
    </r>
    <r>
      <rPr>
        <sz val="14"/>
        <rFont val="ＭＳ 明朝"/>
        <family val="1"/>
      </rPr>
      <t>2_30列</t>
    </r>
  </si>
  <si>
    <r>
      <t>0</t>
    </r>
    <r>
      <rPr>
        <sz val="14"/>
        <rFont val="ＭＳ 明朝"/>
        <family val="1"/>
      </rPr>
      <t>4_58列</t>
    </r>
  </si>
  <si>
    <r>
      <t>0</t>
    </r>
    <r>
      <rPr>
        <sz val="14"/>
        <rFont val="ＭＳ 明朝"/>
        <family val="1"/>
      </rPr>
      <t>4_26列+27列</t>
    </r>
  </si>
  <si>
    <r>
      <t>0</t>
    </r>
    <r>
      <rPr>
        <sz val="14"/>
        <rFont val="ＭＳ 明朝"/>
        <family val="1"/>
      </rPr>
      <t>4_28列</t>
    </r>
  </si>
  <si>
    <r>
      <t>0</t>
    </r>
    <r>
      <rPr>
        <sz val="14"/>
        <rFont val="ＭＳ 明朝"/>
        <family val="1"/>
      </rPr>
      <t>4_42列</t>
    </r>
  </si>
  <si>
    <r>
      <t>0</t>
    </r>
    <r>
      <rPr>
        <sz val="14"/>
        <rFont val="ＭＳ 明朝"/>
        <family val="1"/>
      </rPr>
      <t>2_31列</t>
    </r>
  </si>
  <si>
    <r>
      <t>0</t>
    </r>
    <r>
      <rPr>
        <sz val="14"/>
        <rFont val="ＭＳ 明朝"/>
        <family val="1"/>
      </rPr>
      <t>2_32列</t>
    </r>
  </si>
  <si>
    <r>
      <t xml:space="preserve"> 共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追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加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</t>
    </r>
  </si>
  <si>
    <t>（元　金）</t>
  </si>
  <si>
    <t>（利　息）</t>
  </si>
  <si>
    <r>
      <t xml:space="preserve"> 健全化法上の資金不足額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(千円)</t>
    </r>
  </si>
  <si>
    <r>
      <t xml:space="preserve"> 健全化法上の資金不足比率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</si>
  <si>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t>収益勘定繰入金</t>
  </si>
  <si>
    <t>資本勘定繰入金</t>
  </si>
  <si>
    <r>
      <t>基 準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</si>
  <si>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t>実繰入額</t>
  </si>
  <si>
    <t>桑名市民病院</t>
  </si>
  <si>
    <r>
      <t xml:space="preserve"> (１) 企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利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息</t>
    </r>
  </si>
  <si>
    <t xml:space="preserve"> (２) 一時借入金利息</t>
  </si>
  <si>
    <t>第2種</t>
  </si>
  <si>
    <t>第1種</t>
  </si>
  <si>
    <t>7：1</t>
  </si>
  <si>
    <t>10：1</t>
  </si>
  <si>
    <t>15：1</t>
  </si>
  <si>
    <t xml:space="preserve"> 医師確保対策経費</t>
  </si>
  <si>
    <t xml:space="preserve"> 公立病院改革</t>
  </si>
  <si>
    <t xml:space="preserve">プラン経費 </t>
  </si>
  <si>
    <t xml:space="preserve">プラン経費 </t>
  </si>
  <si>
    <t>７　病 院 事 業</t>
  </si>
  <si>
    <t>想定企業</t>
  </si>
  <si>
    <t>　　一　般　</t>
  </si>
  <si>
    <t>―</t>
  </si>
  <si>
    <t>―</t>
  </si>
  <si>
    <t>13：1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</si>
</sst>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;;;"/>
    <numFmt numFmtId="180" formatCode="#,##0.0;\-#,##0.0"/>
    <numFmt numFmtId="181" formatCode="0.0_);[Red]\(0.0\)"/>
    <numFmt numFmtId="182" formatCode="0_);[Red]\(0\)"/>
    <numFmt numFmtId="183" formatCode="#,##0_);[Red]\(#,##0\)"/>
    <numFmt numFmtId="184" formatCode="#,##0.0_);[Red]\(#,##0.0\)"/>
    <numFmt numFmtId="185" formatCode="#,##0\ ;&quot;△&quot;#,##0\ ;"/>
    <numFmt numFmtId="186" formatCode="#,##0.0\ ;&quot;△&quot;#,##0.0\ ;"/>
    <numFmt numFmtId="187" formatCode="#,##0;&quot;△&quot;#,##0;"/>
    <numFmt numFmtId="188" formatCode="#,##0.0;&quot;△&quot;#,##0.0;&quot;-&quot;\ "/>
    <numFmt numFmtId="189" formatCode="#,##0.0"/>
    <numFmt numFmtId="190" formatCode="0.0%"/>
    <numFmt numFmtId="191" formatCode="0.0;[Red]0.0"/>
    <numFmt numFmtId="192" formatCode="#,##0;&quot;△ &quot;#,##0"/>
    <numFmt numFmtId="193" formatCode="0_);\(0\)"/>
    <numFmt numFmtId="194" formatCode="#,##0_);\(#,##0\)"/>
  </numFmts>
  <fonts count="45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32"/>
      <name val="ＭＳ ゴシック"/>
      <family val="3"/>
    </font>
    <font>
      <b/>
      <sz val="14"/>
      <name val="ＭＳ ゴシック"/>
      <family val="3"/>
    </font>
    <font>
      <u val="single"/>
      <sz val="7.7"/>
      <color indexed="12"/>
      <name val="ＭＳ 明朝"/>
      <family val="1"/>
    </font>
    <font>
      <u val="single"/>
      <sz val="7.7"/>
      <color indexed="3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71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505">
    <xf numFmtId="176" fontId="0" fillId="0" borderId="0" xfId="0" applyAlignment="1">
      <alignment/>
    </xf>
    <xf numFmtId="176" fontId="0" fillId="0" borderId="0" xfId="0" applyAlignment="1">
      <alignment vertical="center"/>
    </xf>
    <xf numFmtId="37" fontId="0" fillId="0" borderId="10" xfId="0" applyNumberFormat="1" applyBorder="1" applyAlignment="1" applyProtection="1">
      <alignment vertical="center"/>
      <protection/>
    </xf>
    <xf numFmtId="37" fontId="0" fillId="0" borderId="11" xfId="0" applyNumberFormat="1" applyBorder="1" applyAlignment="1" applyProtection="1">
      <alignment vertical="center"/>
      <protection/>
    </xf>
    <xf numFmtId="176" fontId="0" fillId="0" borderId="0" xfId="0" applyAlignment="1" applyProtection="1">
      <alignment vertical="center"/>
      <protection/>
    </xf>
    <xf numFmtId="37" fontId="0" fillId="0" borderId="10" xfId="0" applyNumberFormat="1" applyBorder="1" applyAlignment="1" applyProtection="1">
      <alignment horizontal="center" vertical="center"/>
      <protection/>
    </xf>
    <xf numFmtId="37" fontId="0" fillId="0" borderId="11" xfId="0" applyNumberFormat="1" applyBorder="1" applyAlignment="1" applyProtection="1">
      <alignment horizontal="center" vertical="center"/>
      <protection/>
    </xf>
    <xf numFmtId="37" fontId="0" fillId="0" borderId="12" xfId="0" applyNumberFormat="1" applyBorder="1" applyAlignment="1" applyProtection="1">
      <alignment horizontal="center" vertical="center"/>
      <protection/>
    </xf>
    <xf numFmtId="37" fontId="0" fillId="0" borderId="13" xfId="0" applyNumberFormat="1" applyBorder="1" applyAlignment="1" applyProtection="1">
      <alignment horizontal="center" vertical="center"/>
      <protection/>
    </xf>
    <xf numFmtId="176" fontId="0" fillId="0" borderId="0" xfId="0" applyFill="1" applyAlignment="1" applyProtection="1">
      <alignment vertical="center"/>
      <protection/>
    </xf>
    <xf numFmtId="176" fontId="0" fillId="0" borderId="0" xfId="0" applyFill="1" applyAlignment="1">
      <alignment vertical="center"/>
    </xf>
    <xf numFmtId="176" fontId="0" fillId="0" borderId="0" xfId="0" applyNumberFormat="1" applyAlignment="1" applyProtection="1">
      <alignment vertical="center"/>
      <protection/>
    </xf>
    <xf numFmtId="2" fontId="0" fillId="0" borderId="0" xfId="0" applyNumberFormat="1" applyAlignment="1" applyProtection="1">
      <alignment vertical="center"/>
      <protection/>
    </xf>
    <xf numFmtId="37" fontId="0" fillId="0" borderId="0" xfId="0" applyNumberFormat="1" applyAlignment="1" applyProtection="1">
      <alignment vertical="center"/>
      <protection/>
    </xf>
    <xf numFmtId="185" fontId="0" fillId="0" borderId="14" xfId="0" applyNumberFormat="1" applyBorder="1" applyAlignment="1" applyProtection="1">
      <alignment vertical="center"/>
      <protection/>
    </xf>
    <xf numFmtId="185" fontId="0" fillId="0" borderId="15" xfId="0" applyNumberFormat="1" applyBorder="1" applyAlignment="1" applyProtection="1">
      <alignment vertical="center"/>
      <protection/>
    </xf>
    <xf numFmtId="185" fontId="0" fillId="0" borderId="10" xfId="0" applyNumberFormat="1" applyBorder="1" applyAlignment="1" applyProtection="1">
      <alignment vertical="center"/>
      <protection/>
    </xf>
    <xf numFmtId="185" fontId="0" fillId="0" borderId="11" xfId="0" applyNumberFormat="1" applyBorder="1" applyAlignment="1" applyProtection="1">
      <alignment vertical="center"/>
      <protection/>
    </xf>
    <xf numFmtId="185" fontId="0" fillId="0" borderId="12" xfId="0" applyNumberFormat="1" applyBorder="1" applyAlignment="1" applyProtection="1">
      <alignment vertical="center"/>
      <protection/>
    </xf>
    <xf numFmtId="185" fontId="0" fillId="0" borderId="16" xfId="0" applyNumberFormat="1" applyBorder="1" applyAlignment="1" applyProtection="1">
      <alignment vertical="center"/>
      <protection/>
    </xf>
    <xf numFmtId="185" fontId="0" fillId="0" borderId="16" xfId="0" applyNumberFormat="1" applyBorder="1" applyAlignment="1">
      <alignment vertical="center"/>
    </xf>
    <xf numFmtId="185" fontId="0" fillId="0" borderId="17" xfId="0" applyNumberFormat="1" applyBorder="1" applyAlignment="1">
      <alignment vertical="center"/>
    </xf>
    <xf numFmtId="185" fontId="0" fillId="0" borderId="18" xfId="0" applyNumberFormat="1" applyBorder="1" applyAlignment="1">
      <alignment vertical="center"/>
    </xf>
    <xf numFmtId="185" fontId="0" fillId="0" borderId="19" xfId="0" applyNumberFormat="1" applyBorder="1" applyAlignment="1" applyProtection="1">
      <alignment vertical="center"/>
      <protection/>
    </xf>
    <xf numFmtId="185" fontId="0" fillId="0" borderId="20" xfId="0" applyNumberFormat="1" applyBorder="1" applyAlignment="1">
      <alignment vertical="center"/>
    </xf>
    <xf numFmtId="185" fontId="0" fillId="0" borderId="21" xfId="0" applyNumberFormat="1" applyBorder="1" applyAlignment="1">
      <alignment vertical="center"/>
    </xf>
    <xf numFmtId="185" fontId="0" fillId="0" borderId="22" xfId="0" applyNumberFormat="1" applyBorder="1" applyAlignment="1" applyProtection="1">
      <alignment vertical="center"/>
      <protection/>
    </xf>
    <xf numFmtId="186" fontId="0" fillId="0" borderId="23" xfId="0" applyNumberFormat="1" applyBorder="1" applyAlignment="1">
      <alignment vertical="center"/>
    </xf>
    <xf numFmtId="186" fontId="0" fillId="0" borderId="24" xfId="0" applyNumberFormat="1" applyBorder="1" applyAlignment="1">
      <alignment vertical="center"/>
    </xf>
    <xf numFmtId="186" fontId="0" fillId="0" borderId="15" xfId="0" applyNumberFormat="1" applyBorder="1" applyAlignment="1" applyProtection="1">
      <alignment vertical="center"/>
      <protection/>
    </xf>
    <xf numFmtId="186" fontId="0" fillId="0" borderId="25" xfId="0" applyNumberFormat="1" applyBorder="1" applyAlignment="1">
      <alignment vertical="center"/>
    </xf>
    <xf numFmtId="186" fontId="0" fillId="0" borderId="26" xfId="0" applyNumberFormat="1" applyBorder="1" applyAlignment="1">
      <alignment vertical="center"/>
    </xf>
    <xf numFmtId="186" fontId="0" fillId="0" borderId="11" xfId="0" applyNumberFormat="1" applyBorder="1" applyAlignment="1" applyProtection="1">
      <alignment vertical="center"/>
      <protection/>
    </xf>
    <xf numFmtId="0" fontId="0" fillId="0" borderId="27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15" xfId="0" applyNumberFormat="1" applyBorder="1" applyAlignment="1">
      <alignment horizontal="center" vertical="center"/>
    </xf>
    <xf numFmtId="0" fontId="0" fillId="0" borderId="15" xfId="0" applyNumberFormat="1" applyBorder="1" applyAlignment="1" quotePrefix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5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9" xfId="0" applyNumberFormat="1" applyFill="1" applyBorder="1" applyAlignment="1">
      <alignment vertical="center"/>
    </xf>
    <xf numFmtId="0" fontId="0" fillId="0" borderId="11" xfId="0" applyNumberFormat="1" applyBorder="1" applyAlignment="1" quotePrefix="1">
      <alignment horizontal="center" vertical="center"/>
    </xf>
    <xf numFmtId="0" fontId="0" fillId="0" borderId="31" xfId="0" applyNumberFormat="1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0" fillId="0" borderId="28" xfId="0" applyNumberFormat="1" applyBorder="1" applyAlignment="1">
      <alignment vertical="center" shrinkToFit="1"/>
    </xf>
    <xf numFmtId="0" fontId="0" fillId="0" borderId="22" xfId="0" applyNumberFormat="1" applyBorder="1" applyAlignment="1">
      <alignment vertical="center" shrinkToFit="1"/>
    </xf>
    <xf numFmtId="0" fontId="0" fillId="0" borderId="11" xfId="0" applyNumberForma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 shrinkToFit="1"/>
      <protection/>
    </xf>
    <xf numFmtId="49" fontId="0" fillId="0" borderId="11" xfId="0" applyNumberFormat="1" applyFill="1" applyBorder="1" applyAlignment="1" applyProtection="1">
      <alignment horizontal="center" vertical="center" shrinkToFit="1"/>
      <protection/>
    </xf>
    <xf numFmtId="49" fontId="0" fillId="0" borderId="13" xfId="0" applyNumberFormat="1" applyFill="1" applyBorder="1" applyAlignment="1" applyProtection="1">
      <alignment horizontal="center" vertical="center" shrinkToFit="1"/>
      <protection/>
    </xf>
    <xf numFmtId="186" fontId="0" fillId="0" borderId="17" xfId="0" applyNumberFormat="1" applyBorder="1" applyAlignment="1">
      <alignment vertical="center"/>
    </xf>
    <xf numFmtId="186" fontId="0" fillId="0" borderId="10" xfId="0" applyNumberFormat="1" applyBorder="1" applyAlignment="1">
      <alignment vertical="center"/>
    </xf>
    <xf numFmtId="186" fontId="0" fillId="0" borderId="33" xfId="0" applyNumberFormat="1" applyBorder="1" applyAlignment="1">
      <alignment vertical="center"/>
    </xf>
    <xf numFmtId="186" fontId="0" fillId="0" borderId="34" xfId="0" applyNumberFormat="1" applyBorder="1" applyAlignment="1" applyProtection="1">
      <alignment vertical="center"/>
      <protection/>
    </xf>
    <xf numFmtId="0" fontId="4" fillId="0" borderId="0" xfId="0" applyNumberFormat="1" applyFont="1" applyAlignment="1" quotePrefix="1">
      <alignment horizontal="left" vertical="center"/>
    </xf>
    <xf numFmtId="0" fontId="0" fillId="0" borderId="0" xfId="0" applyNumberFormat="1" applyFill="1" applyAlignment="1">
      <alignment vertical="center"/>
    </xf>
    <xf numFmtId="0" fontId="0" fillId="0" borderId="27" xfId="0" applyNumberFormat="1" applyBorder="1" applyAlignment="1" applyProtection="1">
      <alignment vertical="center"/>
      <protection/>
    </xf>
    <xf numFmtId="0" fontId="0" fillId="0" borderId="27" xfId="0" applyNumberForma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27" xfId="0" applyNumberFormat="1" applyBorder="1" applyAlignment="1">
      <alignment horizontal="center" vertical="top"/>
    </xf>
    <xf numFmtId="0" fontId="0" fillId="0" borderId="0" xfId="66" applyFill="1" applyAlignment="1">
      <alignment vertical="center"/>
      <protection/>
    </xf>
    <xf numFmtId="0" fontId="0" fillId="0" borderId="30" xfId="66" applyFill="1" applyBorder="1" applyAlignment="1">
      <alignment vertical="center"/>
      <protection/>
    </xf>
    <xf numFmtId="0" fontId="0" fillId="0" borderId="27" xfId="66" applyFill="1" applyBorder="1" applyAlignment="1">
      <alignment vertical="center"/>
      <protection/>
    </xf>
    <xf numFmtId="0" fontId="0" fillId="0" borderId="27" xfId="0" applyNumberFormat="1" applyFill="1" applyBorder="1" applyAlignment="1">
      <alignment vertical="center"/>
    </xf>
    <xf numFmtId="0" fontId="0" fillId="0" borderId="28" xfId="0" applyNumberFormat="1" applyFill="1" applyBorder="1" applyAlignment="1">
      <alignment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vertical="center" shrinkToFit="1"/>
    </xf>
    <xf numFmtId="0" fontId="0" fillId="0" borderId="29" xfId="66" applyFill="1" applyBorder="1" applyAlignment="1">
      <alignment vertical="center"/>
      <protection/>
    </xf>
    <xf numFmtId="0" fontId="0" fillId="0" borderId="29" xfId="0" applyNumberFormat="1" applyFill="1" applyBorder="1" applyAlignment="1">
      <alignment vertical="center"/>
    </xf>
    <xf numFmtId="0" fontId="0" fillId="0" borderId="22" xfId="0" applyNumberFormat="1" applyFill="1" applyBorder="1" applyAlignment="1">
      <alignment vertical="center"/>
    </xf>
    <xf numFmtId="0" fontId="0" fillId="0" borderId="22" xfId="0" applyNumberFormat="1" applyFill="1" applyBorder="1" applyAlignment="1">
      <alignment vertical="center" shrinkToFit="1"/>
    </xf>
    <xf numFmtId="0" fontId="0" fillId="0" borderId="27" xfId="66" applyFont="1" applyFill="1" applyBorder="1" applyAlignment="1">
      <alignment vertical="center"/>
      <protection/>
    </xf>
    <xf numFmtId="0" fontId="0" fillId="0" borderId="19" xfId="66" applyFill="1" applyBorder="1" applyAlignment="1">
      <alignment vertical="center"/>
      <protection/>
    </xf>
    <xf numFmtId="187" fontId="0" fillId="0" borderId="35" xfId="66" applyNumberFormat="1" applyFill="1" applyBorder="1" applyAlignment="1" applyProtection="1">
      <alignment vertical="center"/>
      <protection/>
    </xf>
    <xf numFmtId="187" fontId="0" fillId="0" borderId="36" xfId="66" applyNumberFormat="1" applyFill="1" applyBorder="1" applyAlignment="1" applyProtection="1">
      <alignment vertical="center"/>
      <protection/>
    </xf>
    <xf numFmtId="187" fontId="0" fillId="0" borderId="11" xfId="66" applyNumberFormat="1" applyFill="1" applyBorder="1" applyAlignment="1" applyProtection="1">
      <alignment vertical="center"/>
      <protection/>
    </xf>
    <xf numFmtId="0" fontId="0" fillId="0" borderId="0" xfId="66" applyFont="1" applyFill="1" applyAlignment="1">
      <alignment vertical="center"/>
      <protection/>
    </xf>
    <xf numFmtId="0" fontId="0" fillId="0" borderId="37" xfId="66" applyFill="1" applyBorder="1" applyAlignment="1">
      <alignment vertical="center"/>
      <protection/>
    </xf>
    <xf numFmtId="187" fontId="0" fillId="0" borderId="16" xfId="66" applyNumberFormat="1" applyFill="1" applyBorder="1" applyAlignment="1" applyProtection="1">
      <alignment vertical="center"/>
      <protection/>
    </xf>
    <xf numFmtId="187" fontId="0" fillId="0" borderId="38" xfId="66" applyNumberFormat="1" applyFill="1" applyBorder="1" applyAlignment="1" applyProtection="1">
      <alignment vertical="center"/>
      <protection/>
    </xf>
    <xf numFmtId="187" fontId="0" fillId="0" borderId="15" xfId="66" applyNumberFormat="1" applyFill="1" applyBorder="1" applyAlignment="1" applyProtection="1">
      <alignment vertical="center"/>
      <protection/>
    </xf>
    <xf numFmtId="0" fontId="0" fillId="0" borderId="37" xfId="66" applyFont="1" applyFill="1" applyBorder="1" applyAlignment="1">
      <alignment vertical="center"/>
      <protection/>
    </xf>
    <xf numFmtId="0" fontId="0" fillId="0" borderId="19" xfId="66" applyFont="1" applyFill="1" applyBorder="1" applyAlignment="1">
      <alignment vertical="center"/>
      <protection/>
    </xf>
    <xf numFmtId="187" fontId="0" fillId="0" borderId="39" xfId="66" applyNumberFormat="1" applyFill="1" applyBorder="1" applyAlignment="1" applyProtection="1">
      <alignment vertical="center"/>
      <protection/>
    </xf>
    <xf numFmtId="187" fontId="0" fillId="0" borderId="33" xfId="66" applyNumberFormat="1" applyFill="1" applyBorder="1" applyAlignment="1" applyProtection="1">
      <alignment vertical="center"/>
      <protection/>
    </xf>
    <xf numFmtId="187" fontId="0" fillId="0" borderId="40" xfId="66" applyNumberFormat="1" applyFill="1" applyBorder="1" applyAlignment="1" applyProtection="1">
      <alignment vertical="center"/>
      <protection/>
    </xf>
    <xf numFmtId="0" fontId="0" fillId="0" borderId="10" xfId="66" applyFill="1" applyBorder="1" applyAlignment="1">
      <alignment vertical="center"/>
      <protection/>
    </xf>
    <xf numFmtId="187" fontId="0" fillId="0" borderId="41" xfId="66" applyNumberFormat="1" applyFill="1" applyBorder="1" applyAlignment="1" applyProtection="1">
      <alignment vertical="center"/>
      <protection/>
    </xf>
    <xf numFmtId="187" fontId="0" fillId="0" borderId="42" xfId="66" applyNumberFormat="1" applyFill="1" applyBorder="1" applyAlignment="1" applyProtection="1">
      <alignment vertical="center"/>
      <protection/>
    </xf>
    <xf numFmtId="187" fontId="0" fillId="0" borderId="28" xfId="66" applyNumberFormat="1" applyFill="1" applyBorder="1" applyAlignment="1" applyProtection="1">
      <alignment vertical="center"/>
      <protection/>
    </xf>
    <xf numFmtId="187" fontId="0" fillId="0" borderId="42" xfId="66" applyNumberFormat="1" applyFill="1" applyBorder="1" applyAlignment="1">
      <alignment vertical="center"/>
      <protection/>
    </xf>
    <xf numFmtId="0" fontId="0" fillId="0" borderId="27" xfId="66" applyFill="1" applyBorder="1" applyAlignment="1">
      <alignment/>
      <protection/>
    </xf>
    <xf numFmtId="0" fontId="0" fillId="0" borderId="0" xfId="66" applyFill="1" applyAlignment="1">
      <alignment/>
      <protection/>
    </xf>
    <xf numFmtId="0" fontId="0" fillId="0" borderId="27" xfId="66" applyFont="1" applyFill="1" applyBorder="1" applyAlignment="1">
      <alignment/>
      <protection/>
    </xf>
    <xf numFmtId="0" fontId="0" fillId="0" borderId="10" xfId="66" applyFont="1" applyFill="1" applyBorder="1" applyAlignment="1">
      <alignment vertical="top"/>
      <protection/>
    </xf>
    <xf numFmtId="0" fontId="0" fillId="0" borderId="19" xfId="66" applyFill="1" applyBorder="1" applyAlignment="1">
      <alignment vertical="top"/>
      <protection/>
    </xf>
    <xf numFmtId="187" fontId="0" fillId="0" borderId="39" xfId="66" applyNumberFormat="1" applyFill="1" applyBorder="1" applyAlignment="1" applyProtection="1">
      <alignment vertical="top"/>
      <protection/>
    </xf>
    <xf numFmtId="187" fontId="0" fillId="0" borderId="33" xfId="66" applyNumberFormat="1" applyFill="1" applyBorder="1" applyAlignment="1" applyProtection="1">
      <alignment vertical="top"/>
      <protection/>
    </xf>
    <xf numFmtId="187" fontId="0" fillId="0" borderId="43" xfId="66" applyNumberFormat="1" applyFill="1" applyBorder="1" applyAlignment="1" applyProtection="1">
      <alignment vertical="top"/>
      <protection/>
    </xf>
    <xf numFmtId="0" fontId="0" fillId="0" borderId="29" xfId="66" applyFill="1" applyBorder="1" applyAlignment="1">
      <alignment vertical="top"/>
      <protection/>
    </xf>
    <xf numFmtId="0" fontId="0" fillId="0" borderId="30" xfId="66" applyFill="1" applyBorder="1" applyAlignment="1">
      <alignment vertical="top"/>
      <protection/>
    </xf>
    <xf numFmtId="187" fontId="0" fillId="0" borderId="44" xfId="66" applyNumberFormat="1" applyFill="1" applyBorder="1" applyAlignment="1" applyProtection="1">
      <alignment vertical="top"/>
      <protection/>
    </xf>
    <xf numFmtId="187" fontId="0" fillId="0" borderId="45" xfId="66" applyNumberFormat="1" applyFill="1" applyBorder="1" applyAlignment="1" applyProtection="1">
      <alignment vertical="top"/>
      <protection/>
    </xf>
    <xf numFmtId="187" fontId="0" fillId="0" borderId="45" xfId="66" applyNumberFormat="1" applyFill="1" applyBorder="1" applyAlignment="1">
      <alignment vertical="top"/>
      <protection/>
    </xf>
    <xf numFmtId="187" fontId="0" fillId="0" borderId="46" xfId="66" applyNumberFormat="1" applyFill="1" applyBorder="1" applyAlignment="1" applyProtection="1">
      <alignment vertical="top"/>
      <protection/>
    </xf>
    <xf numFmtId="0" fontId="8" fillId="0" borderId="0" xfId="66" applyFont="1" applyFill="1" applyAlignment="1">
      <alignment vertical="center"/>
      <protection/>
    </xf>
    <xf numFmtId="0" fontId="0" fillId="0" borderId="30" xfId="66" applyFill="1" applyBorder="1" applyAlignment="1">
      <alignment horizontal="right"/>
      <protection/>
    </xf>
    <xf numFmtId="0" fontId="0" fillId="0" borderId="29" xfId="0" applyNumberFormat="1" applyFill="1" applyBorder="1" applyAlignment="1">
      <alignment vertical="center" shrinkToFit="1"/>
    </xf>
    <xf numFmtId="0" fontId="0" fillId="0" borderId="0" xfId="65" applyFill="1" applyAlignment="1">
      <alignment vertical="center"/>
      <protection/>
    </xf>
    <xf numFmtId="0" fontId="8" fillId="0" borderId="0" xfId="65" applyFont="1" applyFill="1" applyAlignment="1">
      <alignment vertical="center"/>
      <protection/>
    </xf>
    <xf numFmtId="0" fontId="0" fillId="0" borderId="30" xfId="65" applyFill="1" applyBorder="1" applyAlignment="1">
      <alignment vertical="center"/>
      <protection/>
    </xf>
    <xf numFmtId="0" fontId="0" fillId="0" borderId="30" xfId="65" applyFill="1" applyBorder="1" applyAlignment="1">
      <alignment horizontal="right"/>
      <protection/>
    </xf>
    <xf numFmtId="0" fontId="0" fillId="0" borderId="27" xfId="65" applyFill="1" applyBorder="1" applyAlignment="1">
      <alignment vertical="center"/>
      <protection/>
    </xf>
    <xf numFmtId="0" fontId="0" fillId="0" borderId="29" xfId="65" applyFill="1" applyBorder="1" applyAlignment="1">
      <alignment vertical="center"/>
      <protection/>
    </xf>
    <xf numFmtId="0" fontId="0" fillId="0" borderId="27" xfId="65" applyFill="1" applyBorder="1" applyAlignment="1">
      <alignment horizontal="center" vertical="center"/>
      <protection/>
    </xf>
    <xf numFmtId="0" fontId="0" fillId="0" borderId="15" xfId="65" applyFill="1" applyBorder="1" applyAlignment="1">
      <alignment vertical="center"/>
      <protection/>
    </xf>
    <xf numFmtId="0" fontId="0" fillId="0" borderId="37" xfId="65" applyFill="1" applyBorder="1" applyAlignment="1">
      <alignment vertical="center"/>
      <protection/>
    </xf>
    <xf numFmtId="187" fontId="0" fillId="0" borderId="47" xfId="65" applyNumberFormat="1" applyFill="1" applyBorder="1" applyAlignment="1" applyProtection="1">
      <alignment vertical="center"/>
      <protection/>
    </xf>
    <xf numFmtId="187" fontId="0" fillId="0" borderId="48" xfId="65" applyNumberFormat="1" applyFill="1" applyBorder="1" applyAlignment="1" applyProtection="1">
      <alignment vertical="center"/>
      <protection/>
    </xf>
    <xf numFmtId="187" fontId="0" fillId="0" borderId="15" xfId="65" applyNumberFormat="1" applyFill="1" applyBorder="1" applyAlignment="1" applyProtection="1">
      <alignment vertical="center"/>
      <protection/>
    </xf>
    <xf numFmtId="187" fontId="0" fillId="0" borderId="14" xfId="65" applyNumberFormat="1" applyFill="1" applyBorder="1" applyAlignment="1" applyProtection="1">
      <alignment vertical="center"/>
      <protection/>
    </xf>
    <xf numFmtId="187" fontId="0" fillId="0" borderId="38" xfId="65" applyNumberFormat="1" applyFill="1" applyBorder="1" applyAlignment="1" applyProtection="1">
      <alignment vertical="center"/>
      <protection/>
    </xf>
    <xf numFmtId="0" fontId="0" fillId="0" borderId="10" xfId="65" applyFill="1" applyBorder="1" applyAlignment="1">
      <alignment horizontal="center" vertical="center"/>
      <protection/>
    </xf>
    <xf numFmtId="0" fontId="0" fillId="0" borderId="11" xfId="65" applyFill="1" applyBorder="1" applyAlignment="1">
      <alignment vertical="center"/>
      <protection/>
    </xf>
    <xf numFmtId="0" fontId="0" fillId="0" borderId="19" xfId="65" applyFill="1" applyBorder="1" applyAlignment="1">
      <alignment vertical="center"/>
      <protection/>
    </xf>
    <xf numFmtId="187" fontId="0" fillId="0" borderId="10" xfId="65" applyNumberFormat="1" applyFill="1" applyBorder="1" applyAlignment="1" applyProtection="1">
      <alignment vertical="center"/>
      <protection/>
    </xf>
    <xf numFmtId="187" fontId="0" fillId="0" borderId="33" xfId="65" applyNumberFormat="1" applyFill="1" applyBorder="1" applyAlignment="1" applyProtection="1">
      <alignment vertical="center"/>
      <protection/>
    </xf>
    <xf numFmtId="187" fontId="0" fillId="0" borderId="11" xfId="65" applyNumberFormat="1" applyFill="1" applyBorder="1" applyAlignment="1" applyProtection="1">
      <alignment vertical="center"/>
      <protection/>
    </xf>
    <xf numFmtId="0" fontId="0" fillId="0" borderId="27" xfId="65" applyFont="1" applyFill="1" applyBorder="1" applyAlignment="1">
      <alignment vertical="center"/>
      <protection/>
    </xf>
    <xf numFmtId="0" fontId="0" fillId="0" borderId="10" xfId="65" applyFill="1" applyBorder="1" applyAlignment="1">
      <alignment vertical="center"/>
      <protection/>
    </xf>
    <xf numFmtId="0" fontId="0" fillId="0" borderId="10" xfId="65" applyFont="1" applyFill="1" applyBorder="1" applyAlignment="1">
      <alignment vertical="center"/>
      <protection/>
    </xf>
    <xf numFmtId="0" fontId="0" fillId="0" borderId="28" xfId="65" applyFill="1" applyBorder="1" applyAlignment="1">
      <alignment horizontal="center" vertical="center"/>
      <protection/>
    </xf>
    <xf numFmtId="0" fontId="0" fillId="0" borderId="28" xfId="65" applyFont="1" applyFill="1" applyBorder="1" applyAlignment="1">
      <alignment horizontal="distributed" vertical="center"/>
      <protection/>
    </xf>
    <xf numFmtId="0" fontId="0" fillId="0" borderId="27" xfId="65" applyFill="1" applyBorder="1" applyAlignment="1">
      <alignment horizontal="distributed" vertical="center"/>
      <protection/>
    </xf>
    <xf numFmtId="0" fontId="0" fillId="0" borderId="15" xfId="65" applyFont="1" applyFill="1" applyBorder="1" applyAlignment="1">
      <alignment vertical="center"/>
      <protection/>
    </xf>
    <xf numFmtId="0" fontId="0" fillId="0" borderId="27" xfId="65" applyFont="1" applyFill="1" applyBorder="1" applyAlignment="1">
      <alignment horizontal="right" vertical="center"/>
      <protection/>
    </xf>
    <xf numFmtId="0" fontId="0" fillId="0" borderId="10" xfId="65" applyFont="1" applyFill="1" applyBorder="1" applyAlignment="1">
      <alignment horizontal="right" vertical="center"/>
      <protection/>
    </xf>
    <xf numFmtId="0" fontId="0" fillId="0" borderId="28" xfId="65" applyFill="1" applyBorder="1" applyAlignment="1">
      <alignment vertical="center"/>
      <protection/>
    </xf>
    <xf numFmtId="187" fontId="0" fillId="0" borderId="27" xfId="65" applyNumberFormat="1" applyFill="1" applyBorder="1" applyAlignment="1" applyProtection="1">
      <alignment vertical="center"/>
      <protection/>
    </xf>
    <xf numFmtId="187" fontId="0" fillId="0" borderId="42" xfId="65" applyNumberFormat="1" applyFill="1" applyBorder="1" applyAlignment="1" applyProtection="1">
      <alignment vertical="center"/>
      <protection/>
    </xf>
    <xf numFmtId="187" fontId="0" fillId="0" borderId="28" xfId="65" applyNumberFormat="1" applyFill="1" applyBorder="1" applyAlignment="1" applyProtection="1">
      <alignment vertical="center"/>
      <protection/>
    </xf>
    <xf numFmtId="0" fontId="0" fillId="0" borderId="33" xfId="65" applyFill="1" applyBorder="1" applyAlignment="1">
      <alignment vertical="center"/>
      <protection/>
    </xf>
    <xf numFmtId="0" fontId="0" fillId="0" borderId="49" xfId="65" applyFont="1" applyFill="1" applyBorder="1" applyAlignment="1">
      <alignment horizontal="center" vertical="center"/>
      <protection/>
    </xf>
    <xf numFmtId="187" fontId="0" fillId="0" borderId="50" xfId="65" applyNumberFormat="1" applyFill="1" applyBorder="1" applyAlignment="1" applyProtection="1">
      <alignment vertical="center"/>
      <protection/>
    </xf>
    <xf numFmtId="187" fontId="0" fillId="0" borderId="51" xfId="65" applyNumberFormat="1" applyFill="1" applyBorder="1" applyAlignment="1" applyProtection="1">
      <alignment vertical="center"/>
      <protection/>
    </xf>
    <xf numFmtId="187" fontId="0" fillId="0" borderId="52" xfId="65" applyNumberFormat="1" applyFill="1" applyBorder="1" applyAlignment="1" applyProtection="1">
      <alignment vertical="center"/>
      <protection/>
    </xf>
    <xf numFmtId="0" fontId="0" fillId="0" borderId="45" xfId="65" applyFill="1" applyBorder="1" applyAlignment="1">
      <alignment vertical="center"/>
      <protection/>
    </xf>
    <xf numFmtId="0" fontId="0" fillId="0" borderId="53" xfId="65" applyFont="1" applyFill="1" applyBorder="1" applyAlignment="1">
      <alignment horizontal="center" vertical="center"/>
      <protection/>
    </xf>
    <xf numFmtId="187" fontId="0" fillId="0" borderId="54" xfId="65" applyNumberFormat="1" applyFill="1" applyBorder="1" applyAlignment="1" applyProtection="1">
      <alignment vertical="center"/>
      <protection/>
    </xf>
    <xf numFmtId="187" fontId="0" fillId="0" borderId="55" xfId="65" applyNumberFormat="1" applyFill="1" applyBorder="1" applyAlignment="1" applyProtection="1">
      <alignment vertical="center"/>
      <protection/>
    </xf>
    <xf numFmtId="187" fontId="0" fillId="0" borderId="56" xfId="65" applyNumberFormat="1" applyFill="1" applyBorder="1" applyAlignment="1" applyProtection="1">
      <alignment vertical="center"/>
      <protection/>
    </xf>
    <xf numFmtId="0" fontId="0" fillId="0" borderId="27" xfId="67" applyFont="1" applyFill="1" applyBorder="1" applyAlignment="1">
      <alignment vertical="center"/>
      <protection/>
    </xf>
    <xf numFmtId="0" fontId="0" fillId="0" borderId="19" xfId="67" applyFill="1" applyBorder="1" applyAlignment="1">
      <alignment vertical="center"/>
      <protection/>
    </xf>
    <xf numFmtId="0" fontId="0" fillId="0" borderId="27" xfId="67" applyFill="1" applyBorder="1" applyAlignment="1">
      <alignment vertical="center"/>
      <protection/>
    </xf>
    <xf numFmtId="0" fontId="0" fillId="0" borderId="0" xfId="67" applyFill="1" applyAlignment="1">
      <alignment vertical="center"/>
      <protection/>
    </xf>
    <xf numFmtId="0" fontId="8" fillId="0" borderId="0" xfId="67" applyFont="1" applyFill="1" applyAlignment="1">
      <alignment vertical="center"/>
      <protection/>
    </xf>
    <xf numFmtId="0" fontId="0" fillId="0" borderId="30" xfId="67" applyFill="1" applyBorder="1" applyAlignment="1">
      <alignment vertical="center"/>
      <protection/>
    </xf>
    <xf numFmtId="0" fontId="0" fillId="0" borderId="30" xfId="67" applyFill="1" applyBorder="1" applyAlignment="1">
      <alignment horizontal="right"/>
      <protection/>
    </xf>
    <xf numFmtId="0" fontId="0" fillId="0" borderId="28" xfId="67" applyFill="1" applyBorder="1" applyAlignment="1">
      <alignment vertical="center"/>
      <protection/>
    </xf>
    <xf numFmtId="0" fontId="0" fillId="0" borderId="28" xfId="67" applyFill="1" applyBorder="1" applyAlignment="1">
      <alignment horizontal="center" vertical="center"/>
      <protection/>
    </xf>
    <xf numFmtId="0" fontId="0" fillId="0" borderId="29" xfId="67" applyFill="1" applyBorder="1" applyAlignment="1">
      <alignment vertical="center"/>
      <protection/>
    </xf>
    <xf numFmtId="0" fontId="0" fillId="0" borderId="22" xfId="67" applyFill="1" applyBorder="1" applyAlignment="1">
      <alignment vertical="center"/>
      <protection/>
    </xf>
    <xf numFmtId="187" fontId="0" fillId="0" borderId="10" xfId="67" applyNumberFormat="1" applyFill="1" applyBorder="1" applyAlignment="1" applyProtection="1">
      <alignment vertical="center"/>
      <protection/>
    </xf>
    <xf numFmtId="187" fontId="0" fillId="0" borderId="11" xfId="67" applyNumberFormat="1" applyFill="1" applyBorder="1" applyAlignment="1" applyProtection="1">
      <alignment vertical="center"/>
      <protection/>
    </xf>
    <xf numFmtId="187" fontId="0" fillId="0" borderId="57" xfId="67" applyNumberFormat="1" applyFill="1" applyBorder="1" applyAlignment="1" applyProtection="1">
      <alignment vertical="center"/>
      <protection/>
    </xf>
    <xf numFmtId="0" fontId="0" fillId="0" borderId="0" xfId="67" applyFont="1" applyFill="1" applyAlignment="1">
      <alignment vertical="center"/>
      <protection/>
    </xf>
    <xf numFmtId="0" fontId="0" fillId="0" borderId="37" xfId="67" applyFill="1" applyBorder="1" applyAlignment="1">
      <alignment vertical="center"/>
      <protection/>
    </xf>
    <xf numFmtId="187" fontId="0" fillId="0" borderId="23" xfId="67" applyNumberFormat="1" applyFill="1" applyBorder="1" applyAlignment="1" applyProtection="1">
      <alignment vertical="center"/>
      <protection/>
    </xf>
    <xf numFmtId="187" fontId="0" fillId="0" borderId="58" xfId="67" applyNumberFormat="1" applyFill="1" applyBorder="1" applyAlignment="1" applyProtection="1">
      <alignment vertical="center"/>
      <protection/>
    </xf>
    <xf numFmtId="187" fontId="0" fillId="0" borderId="59" xfId="67" applyNumberFormat="1" applyFill="1" applyBorder="1" applyAlignment="1" applyProtection="1">
      <alignment vertical="center"/>
      <protection/>
    </xf>
    <xf numFmtId="187" fontId="0" fillId="0" borderId="25" xfId="67" applyNumberFormat="1" applyFill="1" applyBorder="1" applyAlignment="1" applyProtection="1">
      <alignment vertical="center"/>
      <protection/>
    </xf>
    <xf numFmtId="187" fontId="0" fillId="0" borderId="60" xfId="67" applyNumberFormat="1" applyFill="1" applyBorder="1" applyAlignment="1" applyProtection="1">
      <alignment vertical="center"/>
      <protection/>
    </xf>
    <xf numFmtId="187" fontId="0" fillId="0" borderId="34" xfId="67" applyNumberFormat="1" applyFill="1" applyBorder="1" applyAlignment="1" applyProtection="1">
      <alignment vertical="center"/>
      <protection/>
    </xf>
    <xf numFmtId="0" fontId="0" fillId="0" borderId="19" xfId="67" applyFont="1" applyFill="1" applyBorder="1" applyAlignment="1">
      <alignment vertical="center"/>
      <protection/>
    </xf>
    <xf numFmtId="187" fontId="0" fillId="0" borderId="50" xfId="67" applyNumberFormat="1" applyFill="1" applyBorder="1" applyAlignment="1" applyProtection="1">
      <alignment vertical="center"/>
      <protection/>
    </xf>
    <xf numFmtId="187" fontId="0" fillId="0" borderId="49" xfId="67" applyNumberFormat="1" applyFill="1" applyBorder="1" applyAlignment="1" applyProtection="1">
      <alignment vertical="center"/>
      <protection/>
    </xf>
    <xf numFmtId="187" fontId="0" fillId="0" borderId="52" xfId="67" applyNumberFormat="1" applyFill="1" applyBorder="1" applyAlignment="1" applyProtection="1">
      <alignment vertical="center"/>
      <protection/>
    </xf>
    <xf numFmtId="0" fontId="0" fillId="0" borderId="10" xfId="67" applyFill="1" applyBorder="1" applyAlignment="1">
      <alignment vertical="center"/>
      <protection/>
    </xf>
    <xf numFmtId="187" fontId="0" fillId="0" borderId="61" xfId="67" applyNumberFormat="1" applyFill="1" applyBorder="1" applyAlignment="1" applyProtection="1">
      <alignment vertical="center"/>
      <protection/>
    </xf>
    <xf numFmtId="0" fontId="0" fillId="0" borderId="10" xfId="67" applyFont="1" applyFill="1" applyBorder="1" applyAlignment="1">
      <alignment vertical="center"/>
      <protection/>
    </xf>
    <xf numFmtId="187" fontId="0" fillId="0" borderId="14" xfId="67" applyNumberFormat="1" applyFill="1" applyBorder="1" applyAlignment="1" applyProtection="1">
      <alignment vertical="center"/>
      <protection/>
    </xf>
    <xf numFmtId="187" fontId="0" fillId="0" borderId="15" xfId="67" applyNumberFormat="1" applyFill="1" applyBorder="1" applyAlignment="1" applyProtection="1">
      <alignment vertical="center"/>
      <protection/>
    </xf>
    <xf numFmtId="0" fontId="0" fillId="0" borderId="37" xfId="67" applyFont="1" applyFill="1" applyBorder="1" applyAlignment="1">
      <alignment vertical="center"/>
      <protection/>
    </xf>
    <xf numFmtId="187" fontId="0" fillId="0" borderId="29" xfId="67" applyNumberFormat="1" applyFill="1" applyBorder="1" applyAlignment="1" applyProtection="1">
      <alignment vertical="center"/>
      <protection/>
    </xf>
    <xf numFmtId="187" fontId="0" fillId="0" borderId="22" xfId="67" applyNumberFormat="1" applyFill="1" applyBorder="1" applyAlignment="1" applyProtection="1">
      <alignment vertical="center"/>
      <protection/>
    </xf>
    <xf numFmtId="187" fontId="0" fillId="0" borderId="62" xfId="67" applyNumberFormat="1" applyFill="1" applyBorder="1" applyAlignment="1" applyProtection="1">
      <alignment vertical="center"/>
      <protection/>
    </xf>
    <xf numFmtId="0" fontId="8" fillId="0" borderId="0" xfId="63" applyFont="1" applyAlignment="1">
      <alignment vertical="center"/>
      <protection/>
    </xf>
    <xf numFmtId="0" fontId="0" fillId="0" borderId="0" xfId="63" applyAlignment="1">
      <alignment vertical="center"/>
      <protection/>
    </xf>
    <xf numFmtId="0" fontId="0" fillId="0" borderId="30" xfId="63" applyBorder="1" applyAlignment="1">
      <alignment vertical="center"/>
      <protection/>
    </xf>
    <xf numFmtId="0" fontId="0" fillId="0" borderId="27" xfId="63" applyBorder="1" applyAlignment="1">
      <alignment vertical="center"/>
      <protection/>
    </xf>
    <xf numFmtId="0" fontId="0" fillId="0" borderId="29" xfId="63" applyBorder="1" applyAlignment="1">
      <alignment vertical="center"/>
      <protection/>
    </xf>
    <xf numFmtId="0" fontId="0" fillId="0" borderId="63" xfId="63" applyBorder="1" applyAlignment="1">
      <alignment vertical="center"/>
      <protection/>
    </xf>
    <xf numFmtId="0" fontId="0" fillId="0" borderId="10" xfId="63" applyFont="1" applyBorder="1" applyAlignment="1">
      <alignment vertical="center"/>
      <protection/>
    </xf>
    <xf numFmtId="0" fontId="0" fillId="0" borderId="19" xfId="63" applyBorder="1" applyAlignment="1">
      <alignment vertical="center"/>
      <protection/>
    </xf>
    <xf numFmtId="180" fontId="0" fillId="0" borderId="10" xfId="63" applyNumberFormat="1" applyBorder="1" applyAlignment="1" applyProtection="1">
      <alignment vertical="center"/>
      <protection/>
    </xf>
    <xf numFmtId="180" fontId="0" fillId="0" borderId="11" xfId="63" applyNumberFormat="1" applyBorder="1" applyAlignment="1" applyProtection="1">
      <alignment vertical="center"/>
      <protection/>
    </xf>
    <xf numFmtId="3" fontId="0" fillId="0" borderId="0" xfId="63" applyNumberFormat="1" applyAlignment="1">
      <alignment vertical="center"/>
      <protection/>
    </xf>
    <xf numFmtId="37" fontId="0" fillId="0" borderId="10" xfId="63" applyNumberFormat="1" applyBorder="1" applyAlignment="1" applyProtection="1">
      <alignment vertical="center"/>
      <protection/>
    </xf>
    <xf numFmtId="37" fontId="0" fillId="0" borderId="11" xfId="63" applyNumberFormat="1" applyBorder="1" applyAlignment="1" applyProtection="1">
      <alignment vertical="center"/>
      <protection/>
    </xf>
    <xf numFmtId="0" fontId="0" fillId="0" borderId="27" xfId="63" applyFont="1" applyBorder="1" applyAlignment="1">
      <alignment vertical="center"/>
      <protection/>
    </xf>
    <xf numFmtId="37" fontId="0" fillId="0" borderId="10" xfId="63" applyNumberFormat="1" applyFont="1" applyBorder="1" applyAlignment="1" applyProtection="1">
      <alignment vertical="center"/>
      <protection/>
    </xf>
    <xf numFmtId="3" fontId="0" fillId="0" borderId="11" xfId="63" applyNumberFormat="1" applyBorder="1" applyAlignment="1" applyProtection="1">
      <alignment horizontal="right" vertical="center"/>
      <protection/>
    </xf>
    <xf numFmtId="0" fontId="0" fillId="0" borderId="15" xfId="63" applyFont="1" applyBorder="1" applyAlignment="1">
      <alignment vertical="center"/>
      <protection/>
    </xf>
    <xf numFmtId="37" fontId="0" fillId="0" borderId="14" xfId="63" applyNumberFormat="1" applyBorder="1" applyAlignment="1" applyProtection="1">
      <alignment vertical="center"/>
      <protection/>
    </xf>
    <xf numFmtId="37" fontId="0" fillId="0" borderId="15" xfId="63" applyNumberFormat="1" applyBorder="1" applyAlignment="1" applyProtection="1">
      <alignment vertical="center"/>
      <protection/>
    </xf>
    <xf numFmtId="0" fontId="0" fillId="0" borderId="10" xfId="63" applyBorder="1" applyAlignment="1">
      <alignment vertical="center"/>
      <protection/>
    </xf>
    <xf numFmtId="0" fontId="0" fillId="0" borderId="11" xfId="63" applyFont="1" applyBorder="1" applyAlignment="1">
      <alignment vertical="center"/>
      <protection/>
    </xf>
    <xf numFmtId="0" fontId="0" fillId="0" borderId="15" xfId="63" applyBorder="1" applyAlignment="1">
      <alignment vertical="center"/>
      <protection/>
    </xf>
    <xf numFmtId="3" fontId="0" fillId="0" borderId="59" xfId="63" applyNumberFormat="1" applyBorder="1" applyAlignment="1" applyProtection="1">
      <alignment horizontal="right" vertical="center"/>
      <protection/>
    </xf>
    <xf numFmtId="0" fontId="0" fillId="0" borderId="11" xfId="63" applyBorder="1" applyAlignment="1">
      <alignment vertical="center"/>
      <protection/>
    </xf>
    <xf numFmtId="180" fontId="0" fillId="0" borderId="14" xfId="63" applyNumberFormat="1" applyBorder="1" applyAlignment="1" applyProtection="1">
      <alignment vertical="center"/>
      <protection/>
    </xf>
    <xf numFmtId="180" fontId="0" fillId="0" borderId="15" xfId="63" applyNumberFormat="1" applyBorder="1" applyAlignment="1" applyProtection="1">
      <alignment vertical="center"/>
      <protection/>
    </xf>
    <xf numFmtId="180" fontId="0" fillId="0" borderId="28" xfId="63" applyNumberFormat="1" applyBorder="1" applyAlignment="1" applyProtection="1">
      <alignment vertical="center"/>
      <protection/>
    </xf>
    <xf numFmtId="180" fontId="0" fillId="0" borderId="34" xfId="63" applyNumberFormat="1" applyBorder="1" applyAlignment="1" applyProtection="1">
      <alignment vertical="center"/>
      <protection/>
    </xf>
    <xf numFmtId="0" fontId="0" fillId="0" borderId="14" xfId="63" applyFont="1" applyBorder="1" applyAlignment="1">
      <alignment vertical="center"/>
      <protection/>
    </xf>
    <xf numFmtId="0" fontId="0" fillId="0" borderId="37" xfId="63" applyBorder="1" applyAlignment="1">
      <alignment vertical="center"/>
      <protection/>
    </xf>
    <xf numFmtId="180" fontId="0" fillId="0" borderId="27" xfId="63" applyNumberFormat="1" applyBorder="1" applyAlignment="1" applyProtection="1">
      <alignment vertical="center"/>
      <protection/>
    </xf>
    <xf numFmtId="3" fontId="0" fillId="0" borderId="11" xfId="63" applyNumberFormat="1" applyBorder="1" applyAlignment="1" applyProtection="1">
      <alignment vertical="center"/>
      <protection/>
    </xf>
    <xf numFmtId="0" fontId="0" fillId="0" borderId="10" xfId="63" applyFont="1" applyFill="1" applyBorder="1" applyAlignment="1">
      <alignment vertical="center"/>
      <protection/>
    </xf>
    <xf numFmtId="0" fontId="0" fillId="0" borderId="19" xfId="63" applyFill="1" applyBorder="1" applyAlignment="1">
      <alignment vertical="center"/>
      <protection/>
    </xf>
    <xf numFmtId="180" fontId="0" fillId="0" borderId="10" xfId="63" applyNumberFormat="1" applyFill="1" applyBorder="1" applyAlignment="1" applyProtection="1">
      <alignment vertical="center"/>
      <protection/>
    </xf>
    <xf numFmtId="180" fontId="0" fillId="0" borderId="11" xfId="63" applyNumberFormat="1" applyFill="1" applyBorder="1" applyAlignment="1" applyProtection="1">
      <alignment vertical="center"/>
      <protection/>
    </xf>
    <xf numFmtId="0" fontId="0" fillId="0" borderId="27" xfId="63" applyFill="1" applyBorder="1" applyAlignment="1">
      <alignment vertical="center"/>
      <protection/>
    </xf>
    <xf numFmtId="0" fontId="0" fillId="0" borderId="0" xfId="63" applyFill="1" applyAlignment="1">
      <alignment vertical="center"/>
      <protection/>
    </xf>
    <xf numFmtId="3" fontId="0" fillId="0" borderId="0" xfId="63" applyNumberFormat="1" applyFill="1" applyAlignment="1">
      <alignment vertical="center"/>
      <protection/>
    </xf>
    <xf numFmtId="3" fontId="0" fillId="0" borderId="0" xfId="63" applyNumberFormat="1" applyFont="1" applyFill="1" applyAlignment="1">
      <alignment vertical="center"/>
      <protection/>
    </xf>
    <xf numFmtId="180" fontId="0" fillId="0" borderId="10" xfId="63" applyNumberFormat="1" applyFont="1" applyFill="1" applyBorder="1" applyAlignment="1" applyProtection="1">
      <alignment vertical="center"/>
      <protection/>
    </xf>
    <xf numFmtId="180" fontId="0" fillId="0" borderId="11" xfId="63" applyNumberFormat="1" applyFont="1" applyFill="1" applyBorder="1" applyAlignment="1" applyProtection="1">
      <alignment vertical="center"/>
      <protection/>
    </xf>
    <xf numFmtId="176" fontId="0" fillId="0" borderId="11" xfId="63" applyNumberFormat="1" applyFill="1" applyBorder="1" applyAlignment="1" applyProtection="1">
      <alignment vertical="center"/>
      <protection/>
    </xf>
    <xf numFmtId="0" fontId="0" fillId="0" borderId="0" xfId="63" applyFont="1" applyFill="1" applyAlignment="1">
      <alignment vertical="center"/>
      <protection/>
    </xf>
    <xf numFmtId="176" fontId="0" fillId="0" borderId="0" xfId="0" applyFont="1" applyFill="1" applyAlignment="1">
      <alignment vertical="center"/>
    </xf>
    <xf numFmtId="0" fontId="0" fillId="0" borderId="64" xfId="65" applyFont="1" applyFill="1" applyBorder="1" applyAlignment="1" quotePrefix="1">
      <alignment horizontal="left" vertical="center"/>
      <protection/>
    </xf>
    <xf numFmtId="0" fontId="0" fillId="0" borderId="65" xfId="65" applyFont="1" applyFill="1" applyBorder="1" applyAlignment="1" quotePrefix="1">
      <alignment horizontal="left" vertical="center"/>
      <protection/>
    </xf>
    <xf numFmtId="0" fontId="0" fillId="0" borderId="64" xfId="67" applyFont="1" applyFill="1" applyBorder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0" fillId="0" borderId="0" xfId="64" applyFill="1" applyAlignment="1">
      <alignment vertical="center"/>
      <protection/>
    </xf>
    <xf numFmtId="0" fontId="0" fillId="0" borderId="30" xfId="64" applyFill="1" applyBorder="1" applyAlignment="1">
      <alignment vertical="center"/>
      <protection/>
    </xf>
    <xf numFmtId="0" fontId="0" fillId="0" borderId="30" xfId="64" applyFill="1" applyBorder="1" applyAlignment="1">
      <alignment horizontal="right"/>
      <protection/>
    </xf>
    <xf numFmtId="0" fontId="0" fillId="0" borderId="27" xfId="64" applyFill="1" applyBorder="1" applyAlignment="1">
      <alignment vertical="center"/>
      <protection/>
    </xf>
    <xf numFmtId="0" fontId="0" fillId="0" borderId="29" xfId="64" applyFill="1" applyBorder="1" applyAlignment="1">
      <alignment vertical="center"/>
      <protection/>
    </xf>
    <xf numFmtId="0" fontId="0" fillId="0" borderId="63" xfId="64" applyFill="1" applyBorder="1" applyAlignment="1">
      <alignment vertical="center"/>
      <protection/>
    </xf>
    <xf numFmtId="0" fontId="0" fillId="0" borderId="15" xfId="64" applyFont="1" applyFill="1" applyBorder="1" applyAlignment="1">
      <alignment vertical="center"/>
      <protection/>
    </xf>
    <xf numFmtId="0" fontId="0" fillId="0" borderId="37" xfId="64" applyFill="1" applyBorder="1" applyAlignment="1">
      <alignment vertical="center"/>
      <protection/>
    </xf>
    <xf numFmtId="187" fontId="0" fillId="0" borderId="14" xfId="64" applyNumberFormat="1" applyFill="1" applyBorder="1" applyAlignment="1" applyProtection="1">
      <alignment vertical="center"/>
      <protection/>
    </xf>
    <xf numFmtId="187" fontId="0" fillId="0" borderId="15" xfId="64" applyNumberFormat="1" applyFill="1" applyBorder="1" applyAlignment="1" applyProtection="1">
      <alignment vertical="center"/>
      <protection/>
    </xf>
    <xf numFmtId="0" fontId="0" fillId="0" borderId="27" xfId="64" applyFill="1" applyBorder="1" applyAlignment="1">
      <alignment horizontal="center" vertical="center"/>
      <protection/>
    </xf>
    <xf numFmtId="0" fontId="0" fillId="0" borderId="15" xfId="64" applyFill="1" applyBorder="1" applyAlignment="1">
      <alignment vertical="center"/>
      <protection/>
    </xf>
    <xf numFmtId="0" fontId="0" fillId="0" borderId="39" xfId="64" applyFill="1" applyBorder="1" applyAlignment="1">
      <alignment horizontal="center" vertical="center"/>
      <protection/>
    </xf>
    <xf numFmtId="0" fontId="0" fillId="0" borderId="11" xfId="64" applyFont="1" applyFill="1" applyBorder="1" applyAlignment="1">
      <alignment horizontal="centerContinuous" vertical="center"/>
      <protection/>
    </xf>
    <xf numFmtId="0" fontId="0" fillId="0" borderId="19" xfId="64" applyFill="1" applyBorder="1" applyAlignment="1">
      <alignment horizontal="centerContinuous" vertical="center"/>
      <protection/>
    </xf>
    <xf numFmtId="187" fontId="0" fillId="0" borderId="10" xfId="64" applyNumberFormat="1" applyFill="1" applyBorder="1" applyAlignment="1" applyProtection="1">
      <alignment vertical="center"/>
      <protection/>
    </xf>
    <xf numFmtId="187" fontId="0" fillId="0" borderId="11" xfId="64" applyNumberFormat="1" applyFill="1" applyBorder="1" applyAlignment="1" applyProtection="1">
      <alignment vertical="center"/>
      <protection/>
    </xf>
    <xf numFmtId="0" fontId="0" fillId="0" borderId="28" xfId="64" applyFont="1" applyFill="1" applyBorder="1" applyAlignment="1">
      <alignment vertical="center"/>
      <protection/>
    </xf>
    <xf numFmtId="0" fontId="0" fillId="0" borderId="37" xfId="64" applyFont="1" applyFill="1" applyBorder="1" applyAlignment="1">
      <alignment vertical="center"/>
      <protection/>
    </xf>
    <xf numFmtId="187" fontId="0" fillId="0" borderId="25" xfId="64" applyNumberFormat="1" applyFill="1" applyBorder="1" applyAlignment="1" applyProtection="1">
      <alignment vertical="center"/>
      <protection/>
    </xf>
    <xf numFmtId="187" fontId="0" fillId="0" borderId="60" xfId="64" applyNumberFormat="1" applyFill="1" applyBorder="1" applyAlignment="1" applyProtection="1">
      <alignment vertical="center"/>
      <protection/>
    </xf>
    <xf numFmtId="37" fontId="0" fillId="0" borderId="27" xfId="64" applyNumberFormat="1" applyFill="1" applyBorder="1" applyAlignment="1" applyProtection="1">
      <alignment vertical="center"/>
      <protection/>
    </xf>
    <xf numFmtId="37" fontId="0" fillId="0" borderId="0" xfId="64" applyNumberFormat="1" applyFill="1" applyAlignment="1" applyProtection="1">
      <alignment vertical="center"/>
      <protection/>
    </xf>
    <xf numFmtId="0" fontId="0" fillId="0" borderId="10" xfId="64" applyFill="1" applyBorder="1" applyAlignment="1">
      <alignment vertical="center"/>
      <protection/>
    </xf>
    <xf numFmtId="0" fontId="0" fillId="0" borderId="10" xfId="64" applyFont="1" applyFill="1" applyBorder="1" applyAlignment="1">
      <alignment vertical="center"/>
      <protection/>
    </xf>
    <xf numFmtId="0" fontId="0" fillId="0" borderId="19" xfId="64" applyFill="1" applyBorder="1" applyAlignment="1">
      <alignment vertical="center"/>
      <protection/>
    </xf>
    <xf numFmtId="0" fontId="0" fillId="0" borderId="10" xfId="64" applyFill="1" applyBorder="1" applyAlignment="1">
      <alignment horizontal="center" vertical="center"/>
      <protection/>
    </xf>
    <xf numFmtId="0" fontId="0" fillId="0" borderId="29" xfId="64" applyFont="1" applyFill="1" applyBorder="1" applyAlignment="1">
      <alignment vertical="center"/>
      <protection/>
    </xf>
    <xf numFmtId="187" fontId="0" fillId="0" borderId="29" xfId="64" applyNumberFormat="1" applyFill="1" applyBorder="1" applyAlignment="1" applyProtection="1">
      <alignment vertical="center"/>
      <protection/>
    </xf>
    <xf numFmtId="187" fontId="0" fillId="0" borderId="22" xfId="64" applyNumberFormat="1" applyFill="1" applyBorder="1" applyAlignment="1" applyProtection="1">
      <alignment vertical="center"/>
      <protection/>
    </xf>
    <xf numFmtId="3" fontId="0" fillId="0" borderId="0" xfId="64" applyNumberFormat="1" applyFill="1" applyAlignment="1">
      <alignment vertical="center"/>
      <protection/>
    </xf>
    <xf numFmtId="187" fontId="0" fillId="0" borderId="0" xfId="63" applyNumberFormat="1" applyFont="1" applyFill="1" applyAlignment="1">
      <alignment vertical="center"/>
      <protection/>
    </xf>
    <xf numFmtId="187" fontId="0" fillId="0" borderId="0" xfId="0" applyNumberFormat="1" applyFont="1" applyFill="1" applyAlignment="1" applyProtection="1">
      <alignment vertical="center"/>
      <protection/>
    </xf>
    <xf numFmtId="187" fontId="0" fillId="0" borderId="66" xfId="67" applyNumberFormat="1" applyFont="1" applyFill="1" applyBorder="1" applyAlignment="1" applyProtection="1">
      <alignment vertical="center"/>
      <protection/>
    </xf>
    <xf numFmtId="3" fontId="0" fillId="0" borderId="64" xfId="0" applyNumberFormat="1" applyFont="1" applyFill="1" applyBorder="1" applyAlignment="1" applyProtection="1" quotePrefix="1">
      <alignment horizontal="left" vertical="center"/>
      <protection/>
    </xf>
    <xf numFmtId="0" fontId="0" fillId="0" borderId="50" xfId="63" applyFont="1" applyBorder="1" applyAlignment="1">
      <alignment vertical="center"/>
      <protection/>
    </xf>
    <xf numFmtId="180" fontId="0" fillId="0" borderId="61" xfId="63" applyNumberFormat="1" applyFill="1" applyBorder="1" applyAlignment="1" applyProtection="1">
      <alignment vertical="center"/>
      <protection/>
    </xf>
    <xf numFmtId="188" fontId="0" fillId="0" borderId="10" xfId="63" applyNumberFormat="1" applyFont="1" applyFill="1" applyBorder="1" applyAlignment="1" applyProtection="1">
      <alignment vertical="center"/>
      <protection/>
    </xf>
    <xf numFmtId="188" fontId="0" fillId="0" borderId="13" xfId="63" applyNumberFormat="1" applyFill="1" applyBorder="1" applyAlignment="1" applyProtection="1">
      <alignment vertical="center"/>
      <protection/>
    </xf>
    <xf numFmtId="188" fontId="0" fillId="0" borderId="11" xfId="63" applyNumberFormat="1" applyFont="1" applyFill="1" applyBorder="1" applyAlignment="1" applyProtection="1">
      <alignment vertical="center"/>
      <protection/>
    </xf>
    <xf numFmtId="188" fontId="0" fillId="0" borderId="61" xfId="63" applyNumberFormat="1" applyFill="1" applyBorder="1" applyAlignment="1" applyProtection="1">
      <alignment vertical="center"/>
      <protection/>
    </xf>
    <xf numFmtId="188" fontId="0" fillId="0" borderId="11" xfId="63" applyNumberFormat="1" applyFill="1" applyBorder="1" applyAlignment="1" applyProtection="1">
      <alignment vertical="center"/>
      <protection/>
    </xf>
    <xf numFmtId="189" fontId="0" fillId="0" borderId="11" xfId="63" applyNumberFormat="1" applyBorder="1" applyAlignment="1" applyProtection="1">
      <alignment vertical="center"/>
      <protection/>
    </xf>
    <xf numFmtId="0" fontId="0" fillId="0" borderId="27" xfId="0" applyNumberFormat="1" applyFill="1" applyBorder="1" applyAlignment="1">
      <alignment vertical="center" shrinkToFit="1"/>
    </xf>
    <xf numFmtId="0" fontId="0" fillId="0" borderId="28" xfId="67" applyFill="1" applyBorder="1" applyAlignment="1">
      <alignment vertical="center" shrinkToFit="1"/>
      <protection/>
    </xf>
    <xf numFmtId="0" fontId="0" fillId="0" borderId="27" xfId="0" applyNumberFormat="1" applyFill="1" applyBorder="1" applyAlignment="1">
      <alignment horizontal="center" vertical="center" shrinkToFit="1"/>
    </xf>
    <xf numFmtId="0" fontId="0" fillId="0" borderId="28" xfId="0" applyNumberFormat="1" applyFill="1" applyBorder="1" applyAlignment="1">
      <alignment horizontal="center" vertical="center" shrinkToFit="1"/>
    </xf>
    <xf numFmtId="0" fontId="0" fillId="0" borderId="28" xfId="67" applyFill="1" applyBorder="1" applyAlignment="1">
      <alignment horizontal="center" vertical="center" shrinkToFit="1"/>
      <protection/>
    </xf>
    <xf numFmtId="0" fontId="0" fillId="0" borderId="28" xfId="67" applyFont="1" applyFill="1" applyBorder="1" applyAlignment="1">
      <alignment horizontal="center" shrinkToFit="1"/>
      <protection/>
    </xf>
    <xf numFmtId="0" fontId="0" fillId="0" borderId="22" xfId="67" applyFill="1" applyBorder="1" applyAlignment="1">
      <alignment vertical="center" shrinkToFit="1"/>
      <protection/>
    </xf>
    <xf numFmtId="0" fontId="0" fillId="0" borderId="28" xfId="67" applyFont="1" applyFill="1" applyBorder="1" applyAlignment="1">
      <alignment horizontal="center" vertical="center" shrinkToFit="1"/>
      <protection/>
    </xf>
    <xf numFmtId="0" fontId="0" fillId="0" borderId="0" xfId="63" applyFont="1" applyFill="1" applyAlignment="1">
      <alignment horizontal="right" vertical="center"/>
      <protection/>
    </xf>
    <xf numFmtId="0" fontId="0" fillId="0" borderId="0" xfId="63" applyFont="1" applyFill="1" applyAlignment="1">
      <alignment horizontal="left" vertical="center"/>
      <protection/>
    </xf>
    <xf numFmtId="189" fontId="0" fillId="0" borderId="10" xfId="63" applyNumberFormat="1" applyFill="1" applyBorder="1" applyAlignment="1" applyProtection="1">
      <alignment vertical="center"/>
      <protection/>
    </xf>
    <xf numFmtId="0" fontId="0" fillId="0" borderId="28" xfId="67" applyNumberFormat="1" applyFill="1" applyBorder="1" applyAlignment="1">
      <alignment vertical="center" shrinkToFit="1"/>
      <protection/>
    </xf>
    <xf numFmtId="0" fontId="0" fillId="0" borderId="28" xfId="67" applyNumberFormat="1" applyFill="1" applyBorder="1" applyAlignment="1">
      <alignment horizontal="center" vertical="center" shrinkToFit="1"/>
      <protection/>
    </xf>
    <xf numFmtId="0" fontId="0" fillId="0" borderId="28" xfId="67" applyNumberFormat="1" applyFont="1" applyFill="1" applyBorder="1" applyAlignment="1">
      <alignment horizontal="center" vertical="center" shrinkToFit="1"/>
      <protection/>
    </xf>
    <xf numFmtId="0" fontId="0" fillId="0" borderId="22" xfId="67" applyNumberFormat="1" applyFill="1" applyBorder="1" applyAlignment="1">
      <alignment vertical="center" shrinkToFit="1"/>
      <protection/>
    </xf>
    <xf numFmtId="0" fontId="8" fillId="0" borderId="0" xfId="61" applyFont="1" applyFill="1" applyAlignment="1">
      <alignment vertical="center"/>
      <protection/>
    </xf>
    <xf numFmtId="0" fontId="0" fillId="0" borderId="0" xfId="61" applyFill="1" applyAlignment="1">
      <alignment vertical="center"/>
      <protection/>
    </xf>
    <xf numFmtId="0" fontId="0" fillId="0" borderId="30" xfId="61" applyFill="1" applyBorder="1" applyAlignment="1">
      <alignment vertical="center"/>
      <protection/>
    </xf>
    <xf numFmtId="0" fontId="0" fillId="0" borderId="30" xfId="61" applyFill="1" applyBorder="1" applyAlignment="1">
      <alignment horizontal="right"/>
      <protection/>
    </xf>
    <xf numFmtId="0" fontId="0" fillId="0" borderId="27" xfId="61" applyFill="1" applyBorder="1" applyAlignment="1">
      <alignment vertical="center"/>
      <protection/>
    </xf>
    <xf numFmtId="0" fontId="0" fillId="0" borderId="29" xfId="61" applyFill="1" applyBorder="1" applyAlignment="1">
      <alignment vertical="center"/>
      <protection/>
    </xf>
    <xf numFmtId="0" fontId="0" fillId="0" borderId="63" xfId="61" applyFill="1" applyBorder="1" applyAlignment="1">
      <alignment vertical="center"/>
      <protection/>
    </xf>
    <xf numFmtId="187" fontId="0" fillId="0" borderId="67" xfId="61" applyNumberFormat="1" applyFill="1" applyBorder="1" applyAlignment="1">
      <alignment vertical="center"/>
      <protection/>
    </xf>
    <xf numFmtId="187" fontId="0" fillId="0" borderId="68" xfId="61" applyNumberFormat="1" applyFill="1" applyBorder="1" applyAlignment="1">
      <alignment vertical="center"/>
      <protection/>
    </xf>
    <xf numFmtId="187" fontId="0" fillId="0" borderId="28" xfId="61" applyNumberFormat="1" applyFill="1" applyBorder="1" applyAlignment="1">
      <alignment vertical="center"/>
      <protection/>
    </xf>
    <xf numFmtId="187" fontId="0" fillId="0" borderId="27" xfId="61" applyNumberFormat="1" applyFill="1" applyBorder="1" applyAlignment="1">
      <alignment vertical="center"/>
      <protection/>
    </xf>
    <xf numFmtId="187" fontId="0" fillId="0" borderId="42" xfId="61" applyNumberFormat="1" applyFill="1" applyBorder="1" applyAlignment="1">
      <alignment vertical="center"/>
      <protection/>
    </xf>
    <xf numFmtId="0" fontId="0" fillId="0" borderId="37" xfId="61" applyFill="1" applyBorder="1" applyAlignment="1">
      <alignment horizontal="center" vertical="center"/>
      <protection/>
    </xf>
    <xf numFmtId="187" fontId="0" fillId="0" borderId="14" xfId="61" applyNumberFormat="1" applyFill="1" applyBorder="1" applyAlignment="1">
      <alignment vertical="center"/>
      <protection/>
    </xf>
    <xf numFmtId="187" fontId="0" fillId="0" borderId="38" xfId="61" applyNumberFormat="1" applyFill="1" applyBorder="1" applyAlignment="1">
      <alignment vertical="center"/>
      <protection/>
    </xf>
    <xf numFmtId="187" fontId="0" fillId="0" borderId="15" xfId="61" applyNumberFormat="1" applyFill="1" applyBorder="1" applyAlignment="1" applyProtection="1">
      <alignment vertical="center"/>
      <protection/>
    </xf>
    <xf numFmtId="0" fontId="0" fillId="0" borderId="19" xfId="61" applyFill="1" applyBorder="1" applyAlignment="1">
      <alignment vertical="center"/>
      <protection/>
    </xf>
    <xf numFmtId="0" fontId="0" fillId="0" borderId="19" xfId="61" applyFill="1" applyBorder="1" applyAlignment="1">
      <alignment horizontal="center" vertical="center"/>
      <protection/>
    </xf>
    <xf numFmtId="187" fontId="0" fillId="0" borderId="69" xfId="61" applyNumberFormat="1" applyFill="1" applyBorder="1" applyAlignment="1">
      <alignment vertical="center"/>
      <protection/>
    </xf>
    <xf numFmtId="187" fontId="0" fillId="0" borderId="70" xfId="61" applyNumberFormat="1" applyFill="1" applyBorder="1" applyAlignment="1">
      <alignment vertical="center"/>
      <protection/>
    </xf>
    <xf numFmtId="187" fontId="0" fillId="0" borderId="11" xfId="61" applyNumberFormat="1" applyFill="1" applyBorder="1" applyAlignment="1" applyProtection="1">
      <alignment vertical="center"/>
      <protection/>
    </xf>
    <xf numFmtId="187" fontId="0" fillId="0" borderId="23" xfId="61" applyNumberFormat="1" applyFill="1" applyBorder="1" applyAlignment="1">
      <alignment vertical="center"/>
      <protection/>
    </xf>
    <xf numFmtId="187" fontId="0" fillId="0" borderId="24" xfId="61" applyNumberFormat="1" applyFill="1" applyBorder="1" applyAlignment="1">
      <alignment vertical="center"/>
      <protection/>
    </xf>
    <xf numFmtId="187" fontId="0" fillId="0" borderId="50" xfId="61" applyNumberFormat="1" applyFill="1" applyBorder="1" applyAlignment="1">
      <alignment vertical="center"/>
      <protection/>
    </xf>
    <xf numFmtId="187" fontId="0" fillId="0" borderId="51" xfId="61" applyNumberFormat="1" applyFill="1" applyBorder="1" applyAlignment="1">
      <alignment vertical="center"/>
      <protection/>
    </xf>
    <xf numFmtId="187" fontId="0" fillId="0" borderId="10" xfId="61" applyNumberFormat="1" applyFill="1" applyBorder="1" applyAlignment="1">
      <alignment vertical="center"/>
      <protection/>
    </xf>
    <xf numFmtId="187" fontId="0" fillId="0" borderId="33" xfId="61" applyNumberFormat="1" applyFill="1" applyBorder="1" applyAlignment="1">
      <alignment vertical="center"/>
      <protection/>
    </xf>
    <xf numFmtId="187" fontId="0" fillId="0" borderId="71" xfId="61" applyNumberFormat="1" applyFill="1" applyBorder="1" applyAlignment="1" applyProtection="1">
      <alignment vertical="center"/>
      <protection/>
    </xf>
    <xf numFmtId="187" fontId="0" fillId="0" borderId="28" xfId="61" applyNumberFormat="1" applyFill="1" applyBorder="1" applyAlignment="1" applyProtection="1">
      <alignment vertical="center"/>
      <protection/>
    </xf>
    <xf numFmtId="187" fontId="0" fillId="0" borderId="16" xfId="61" applyNumberFormat="1" applyFill="1" applyBorder="1" applyAlignment="1" applyProtection="1">
      <alignment vertical="center"/>
      <protection/>
    </xf>
    <xf numFmtId="187" fontId="0" fillId="0" borderId="39" xfId="61" applyNumberFormat="1" applyFill="1" applyBorder="1" applyAlignment="1" applyProtection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19" xfId="61" applyFill="1" applyBorder="1" applyAlignment="1">
      <alignment horizontal="right" vertical="center"/>
      <protection/>
    </xf>
    <xf numFmtId="0" fontId="0" fillId="0" borderId="0" xfId="61" applyFont="1" applyFill="1" applyAlignment="1" quotePrefix="1">
      <alignment horizontal="left" vertical="center"/>
      <protection/>
    </xf>
    <xf numFmtId="0" fontId="0" fillId="0" borderId="19" xfId="61" applyFont="1" applyFill="1" applyBorder="1" applyAlignment="1">
      <alignment horizontal="right" vertical="center"/>
      <protection/>
    </xf>
    <xf numFmtId="0" fontId="0" fillId="0" borderId="30" xfId="61" applyFill="1" applyBorder="1" applyAlignment="1">
      <alignment horizontal="center" vertical="center"/>
      <protection/>
    </xf>
    <xf numFmtId="187" fontId="0" fillId="0" borderId="44" xfId="61" applyNumberFormat="1" applyFill="1" applyBorder="1" applyAlignment="1" applyProtection="1">
      <alignment vertical="center"/>
      <protection/>
    </xf>
    <xf numFmtId="187" fontId="0" fillId="0" borderId="22" xfId="61" applyNumberFormat="1" applyFill="1" applyBorder="1" applyAlignment="1" applyProtection="1">
      <alignment vertical="center"/>
      <protection/>
    </xf>
    <xf numFmtId="187" fontId="0" fillId="0" borderId="46" xfId="61" applyNumberFormat="1" applyFill="1" applyBorder="1" applyAlignment="1" applyProtection="1">
      <alignment vertical="center"/>
      <protection/>
    </xf>
    <xf numFmtId="0" fontId="0" fillId="0" borderId="0" xfId="62" applyNumberFormat="1" applyFill="1">
      <alignment/>
      <protection/>
    </xf>
    <xf numFmtId="0" fontId="0" fillId="0" borderId="29" xfId="62" applyNumberFormat="1" applyFill="1" applyBorder="1" applyAlignment="1">
      <alignment vertical="center"/>
      <protection/>
    </xf>
    <xf numFmtId="0" fontId="0" fillId="0" borderId="30" xfId="62" applyNumberFormat="1" applyFill="1" applyBorder="1" applyAlignment="1">
      <alignment vertical="center"/>
      <protection/>
    </xf>
    <xf numFmtId="187" fontId="0" fillId="0" borderId="22" xfId="62" applyNumberFormat="1" applyFill="1" applyBorder="1" applyAlignment="1" applyProtection="1">
      <alignment vertical="center"/>
      <protection/>
    </xf>
    <xf numFmtId="0" fontId="0" fillId="0" borderId="27" xfId="62" applyFill="1" applyBorder="1">
      <alignment/>
      <protection/>
    </xf>
    <xf numFmtId="0" fontId="0" fillId="0" borderId="0" xfId="62" applyFill="1">
      <alignment/>
      <protection/>
    </xf>
    <xf numFmtId="0" fontId="8" fillId="0" borderId="0" xfId="62" applyNumberFormat="1" applyFont="1" applyFill="1">
      <alignment/>
      <protection/>
    </xf>
    <xf numFmtId="0" fontId="5" fillId="0" borderId="0" xfId="62" applyNumberFormat="1" applyFont="1" applyFill="1">
      <alignment/>
      <protection/>
    </xf>
    <xf numFmtId="0" fontId="0" fillId="0" borderId="30" xfId="62" applyNumberFormat="1" applyFill="1" applyBorder="1">
      <alignment/>
      <protection/>
    </xf>
    <xf numFmtId="0" fontId="0" fillId="0" borderId="30" xfId="62" applyNumberFormat="1" applyFill="1" applyBorder="1" applyAlignment="1">
      <alignment horizontal="right"/>
      <protection/>
    </xf>
    <xf numFmtId="0" fontId="0" fillId="0" borderId="27" xfId="61" applyNumberFormat="1" applyFill="1" applyBorder="1" applyAlignment="1">
      <alignment vertical="center"/>
      <protection/>
    </xf>
    <xf numFmtId="0" fontId="0" fillId="0" borderId="0" xfId="61" applyNumberFormat="1" applyFill="1" applyAlignment="1">
      <alignment vertical="center"/>
      <protection/>
    </xf>
    <xf numFmtId="0" fontId="0" fillId="0" borderId="27" xfId="62" applyNumberFormat="1" applyFill="1" applyBorder="1">
      <alignment/>
      <protection/>
    </xf>
    <xf numFmtId="0" fontId="0" fillId="0" borderId="29" xfId="61" applyNumberFormat="1" applyFill="1" applyBorder="1" applyAlignment="1">
      <alignment vertical="center"/>
      <protection/>
    </xf>
    <xf numFmtId="0" fontId="0" fillId="0" borderId="30" xfId="61" applyNumberFormat="1" applyFill="1" applyBorder="1" applyAlignment="1">
      <alignment vertical="center"/>
      <protection/>
    </xf>
    <xf numFmtId="0" fontId="0" fillId="0" borderId="63" xfId="61" applyNumberFormat="1" applyFill="1" applyBorder="1" applyAlignment="1">
      <alignment vertical="center"/>
      <protection/>
    </xf>
    <xf numFmtId="0" fontId="0" fillId="0" borderId="67" xfId="61" applyFill="1" applyBorder="1" applyAlignment="1">
      <alignment vertical="center"/>
      <protection/>
    </xf>
    <xf numFmtId="0" fontId="0" fillId="0" borderId="72" xfId="61" applyFill="1" applyBorder="1" applyAlignment="1">
      <alignment vertical="center"/>
      <protection/>
    </xf>
    <xf numFmtId="0" fontId="0" fillId="0" borderId="72" xfId="61" applyFont="1" applyFill="1" applyBorder="1" applyAlignment="1" quotePrefix="1">
      <alignment horizontal="left" vertical="center"/>
      <protection/>
    </xf>
    <xf numFmtId="0" fontId="0" fillId="0" borderId="73" xfId="61" applyFill="1" applyBorder="1" applyAlignment="1">
      <alignment horizontal="center" vertical="center"/>
      <protection/>
    </xf>
    <xf numFmtId="187" fontId="0" fillId="0" borderId="74" xfId="61" applyNumberFormat="1" applyFill="1" applyBorder="1" applyAlignment="1" applyProtection="1">
      <alignment vertical="center"/>
      <protection/>
    </xf>
    <xf numFmtId="187" fontId="0" fillId="0" borderId="75" xfId="61" applyNumberFormat="1" applyFill="1" applyBorder="1" applyAlignment="1" applyProtection="1">
      <alignment vertical="center"/>
      <protection/>
    </xf>
    <xf numFmtId="187" fontId="0" fillId="0" borderId="76" xfId="61" applyNumberFormat="1" applyFill="1" applyBorder="1" applyAlignment="1" applyProtection="1">
      <alignment vertical="center"/>
      <protection/>
    </xf>
    <xf numFmtId="0" fontId="0" fillId="0" borderId="0" xfId="61" applyFill="1" applyBorder="1" applyAlignment="1">
      <alignment vertical="center"/>
      <protection/>
    </xf>
    <xf numFmtId="187" fontId="0" fillId="0" borderId="43" xfId="61" applyNumberFormat="1" applyFill="1" applyBorder="1" applyAlignment="1" applyProtection="1">
      <alignment vertical="center"/>
      <protection/>
    </xf>
    <xf numFmtId="0" fontId="0" fillId="0" borderId="27" xfId="62" applyNumberFormat="1" applyFill="1" applyBorder="1" applyAlignment="1">
      <alignment vertical="center"/>
      <protection/>
    </xf>
    <xf numFmtId="0" fontId="0" fillId="0" borderId="0" xfId="62" applyNumberFormat="1" applyFill="1" applyBorder="1" applyAlignment="1">
      <alignment vertical="center"/>
      <protection/>
    </xf>
    <xf numFmtId="0" fontId="0" fillId="0" borderId="0" xfId="62" applyNumberFormat="1" applyFill="1" applyAlignment="1">
      <alignment vertical="center"/>
      <protection/>
    </xf>
    <xf numFmtId="0" fontId="0" fillId="0" borderId="37" xfId="62" applyNumberFormat="1" applyFill="1" applyBorder="1" applyAlignment="1">
      <alignment horizontal="center" vertical="center"/>
      <protection/>
    </xf>
    <xf numFmtId="187" fontId="0" fillId="0" borderId="14" xfId="62" applyNumberFormat="1" applyFill="1" applyBorder="1" applyAlignment="1" applyProtection="1">
      <alignment vertical="center"/>
      <protection/>
    </xf>
    <xf numFmtId="187" fontId="0" fillId="0" borderId="38" xfId="62" applyNumberFormat="1" applyFill="1" applyBorder="1" applyAlignment="1" applyProtection="1">
      <alignment vertical="center"/>
      <protection/>
    </xf>
    <xf numFmtId="187" fontId="0" fillId="0" borderId="15" xfId="62" applyNumberFormat="1" applyFill="1" applyBorder="1" applyAlignment="1" applyProtection="1">
      <alignment vertical="center"/>
      <protection/>
    </xf>
    <xf numFmtId="0" fontId="0" fillId="0" borderId="19" xfId="62" applyNumberFormat="1" applyFill="1" applyBorder="1" applyAlignment="1">
      <alignment vertical="center"/>
      <protection/>
    </xf>
    <xf numFmtId="0" fontId="0" fillId="0" borderId="19" xfId="62" applyNumberFormat="1" applyFill="1" applyBorder="1" applyAlignment="1">
      <alignment horizontal="center" vertical="center"/>
      <protection/>
    </xf>
    <xf numFmtId="187" fontId="0" fillId="0" borderId="10" xfId="62" applyNumberFormat="1" applyFill="1" applyBorder="1" applyAlignment="1" applyProtection="1">
      <alignment vertical="center"/>
      <protection/>
    </xf>
    <xf numFmtId="187" fontId="0" fillId="0" borderId="33" xfId="62" applyNumberFormat="1" applyFill="1" applyBorder="1" applyAlignment="1" applyProtection="1">
      <alignment vertical="center"/>
      <protection/>
    </xf>
    <xf numFmtId="187" fontId="0" fillId="0" borderId="11" xfId="62" applyNumberFormat="1" applyFill="1" applyBorder="1" applyAlignment="1" applyProtection="1">
      <alignment vertical="center"/>
      <protection/>
    </xf>
    <xf numFmtId="0" fontId="0" fillId="0" borderId="0" xfId="62" applyNumberFormat="1" applyFont="1" applyFill="1" applyAlignment="1">
      <alignment vertical="center"/>
      <protection/>
    </xf>
    <xf numFmtId="0" fontId="0" fillId="0" borderId="10" xfId="62" applyNumberFormat="1" applyFill="1" applyBorder="1" applyAlignment="1">
      <alignment vertical="center"/>
      <protection/>
    </xf>
    <xf numFmtId="0" fontId="0" fillId="0" borderId="77" xfId="62" applyNumberFormat="1" applyFill="1" applyBorder="1" applyAlignment="1">
      <alignment vertical="center"/>
      <protection/>
    </xf>
    <xf numFmtId="187" fontId="0" fillId="0" borderId="27" xfId="62" applyNumberFormat="1" applyFill="1" applyBorder="1" applyAlignment="1">
      <alignment vertical="center"/>
      <protection/>
    </xf>
    <xf numFmtId="187" fontId="0" fillId="0" borderId="28" xfId="62" applyNumberFormat="1" applyFill="1" applyBorder="1" applyAlignment="1">
      <alignment vertical="center"/>
      <protection/>
    </xf>
    <xf numFmtId="187" fontId="0" fillId="0" borderId="28" xfId="62" applyNumberFormat="1" applyFill="1" applyBorder="1" applyAlignment="1" applyProtection="1">
      <alignment vertical="center"/>
      <protection/>
    </xf>
    <xf numFmtId="0" fontId="0" fillId="0" borderId="19" xfId="62" applyNumberFormat="1" applyFont="1" applyFill="1" applyBorder="1" applyAlignment="1">
      <alignment horizontal="right" vertical="center"/>
      <protection/>
    </xf>
    <xf numFmtId="0" fontId="0" fillId="0" borderId="19" xfId="62" applyNumberFormat="1" applyFill="1" applyBorder="1" applyAlignment="1">
      <alignment horizontal="right" vertical="center"/>
      <protection/>
    </xf>
    <xf numFmtId="0" fontId="0" fillId="0" borderId="0" xfId="62" applyNumberFormat="1" applyFont="1" applyFill="1" applyAlignment="1">
      <alignment horizontal="left" vertical="center"/>
      <protection/>
    </xf>
    <xf numFmtId="0" fontId="0" fillId="0" borderId="27" xfId="62" applyNumberFormat="1" applyFont="1" applyFill="1" applyBorder="1" applyAlignment="1" quotePrefix="1">
      <alignment horizontal="left" vertical="center"/>
      <protection/>
    </xf>
    <xf numFmtId="0" fontId="0" fillId="0" borderId="0" xfId="62" applyNumberFormat="1" applyFont="1" applyFill="1" applyBorder="1" applyAlignment="1" quotePrefix="1">
      <alignment horizontal="left" vertical="center"/>
      <protection/>
    </xf>
    <xf numFmtId="0" fontId="0" fillId="0" borderId="77" xfId="62" applyNumberFormat="1" applyFont="1" applyFill="1" applyBorder="1" applyAlignment="1" quotePrefix="1">
      <alignment horizontal="left" vertical="center"/>
      <protection/>
    </xf>
    <xf numFmtId="187" fontId="0" fillId="0" borderId="27" xfId="62" applyNumberForma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187" fontId="0" fillId="0" borderId="50" xfId="62" applyNumberFormat="1" applyFill="1" applyBorder="1" applyAlignment="1" applyProtection="1">
      <alignment vertical="center"/>
      <protection/>
    </xf>
    <xf numFmtId="187" fontId="0" fillId="0" borderId="49" xfId="62" applyNumberFormat="1" applyFill="1" applyBorder="1" applyAlignment="1" applyProtection="1">
      <alignment vertical="center"/>
      <protection/>
    </xf>
    <xf numFmtId="187" fontId="0" fillId="0" borderId="52" xfId="62" applyNumberFormat="1" applyFill="1" applyBorder="1" applyAlignment="1" applyProtection="1">
      <alignment vertical="center"/>
      <protection/>
    </xf>
    <xf numFmtId="37" fontId="0" fillId="0" borderId="0" xfId="62" applyNumberFormat="1" applyFill="1" applyProtection="1">
      <alignment/>
      <protection/>
    </xf>
    <xf numFmtId="176" fontId="9" fillId="0" borderId="0" xfId="0" applyFont="1" applyAlignment="1">
      <alignment horizontal="center" vertical="center"/>
    </xf>
    <xf numFmtId="185" fontId="9" fillId="0" borderId="0" xfId="0" applyNumberFormat="1" applyFont="1" applyAlignment="1">
      <alignment vertical="center"/>
    </xf>
    <xf numFmtId="0" fontId="0" fillId="0" borderId="0" xfId="63" applyFill="1" applyBorder="1" applyAlignment="1">
      <alignment vertical="center"/>
      <protection/>
    </xf>
    <xf numFmtId="0" fontId="0" fillId="0" borderId="27" xfId="63" applyFont="1" applyFill="1" applyBorder="1" applyAlignment="1">
      <alignment vertical="center"/>
      <protection/>
    </xf>
    <xf numFmtId="37" fontId="0" fillId="0" borderId="27" xfId="63" applyNumberFormat="1" applyFill="1" applyBorder="1" applyAlignment="1" applyProtection="1">
      <alignment vertical="center"/>
      <protection/>
    </xf>
    <xf numFmtId="37" fontId="0" fillId="0" borderId="28" xfId="63" applyNumberFormat="1" applyFill="1" applyBorder="1" applyAlignment="1" applyProtection="1">
      <alignment vertical="center"/>
      <protection/>
    </xf>
    <xf numFmtId="37" fontId="0" fillId="0" borderId="78" xfId="63" applyNumberFormat="1" applyFill="1" applyBorder="1" applyAlignment="1" applyProtection="1">
      <alignment vertical="center"/>
      <protection/>
    </xf>
    <xf numFmtId="0" fontId="0" fillId="0" borderId="23" xfId="63" applyFont="1" applyFill="1" applyBorder="1" applyAlignment="1">
      <alignment vertical="center"/>
      <protection/>
    </xf>
    <xf numFmtId="0" fontId="0" fillId="0" borderId="79" xfId="63" applyFill="1" applyBorder="1" applyAlignment="1">
      <alignment vertical="center"/>
      <protection/>
    </xf>
    <xf numFmtId="37" fontId="0" fillId="0" borderId="59" xfId="63" applyNumberFormat="1" applyFill="1" applyBorder="1" applyAlignment="1" applyProtection="1">
      <alignment vertical="center"/>
      <protection/>
    </xf>
    <xf numFmtId="0" fontId="0" fillId="0" borderId="54" xfId="63" applyFont="1" applyFill="1" applyBorder="1" applyAlignment="1">
      <alignment vertical="center"/>
      <protection/>
    </xf>
    <xf numFmtId="0" fontId="0" fillId="0" borderId="80" xfId="63" applyFill="1" applyBorder="1" applyAlignment="1">
      <alignment vertical="center"/>
      <protection/>
    </xf>
    <xf numFmtId="188" fontId="0" fillId="0" borderId="81" xfId="63" applyNumberFormat="1" applyFill="1" applyBorder="1" applyAlignment="1" applyProtection="1">
      <alignment vertical="center"/>
      <protection/>
    </xf>
    <xf numFmtId="188" fontId="0" fillId="0" borderId="55" xfId="63" applyNumberFormat="1" applyFill="1" applyBorder="1" applyAlignment="1" applyProtection="1">
      <alignment vertical="center"/>
      <protection/>
    </xf>
    <xf numFmtId="188" fontId="0" fillId="0" borderId="56" xfId="63" applyNumberFormat="1" applyFill="1" applyBorder="1" applyAlignment="1" applyProtection="1">
      <alignment vertical="center"/>
      <protection/>
    </xf>
    <xf numFmtId="0" fontId="0" fillId="0" borderId="0" xfId="61" applyFont="1" applyFill="1" applyAlignment="1">
      <alignment horizontal="right" vertical="center"/>
      <protection/>
    </xf>
    <xf numFmtId="187" fontId="0" fillId="0" borderId="0" xfId="61" applyNumberFormat="1" applyFill="1" applyAlignment="1">
      <alignment vertical="center"/>
      <protection/>
    </xf>
    <xf numFmtId="187" fontId="0" fillId="0" borderId="0" xfId="62" applyNumberFormat="1" applyFill="1">
      <alignment/>
      <protection/>
    </xf>
    <xf numFmtId="187" fontId="0" fillId="0" borderId="0" xfId="66" applyNumberFormat="1" applyFill="1" applyAlignment="1">
      <alignment vertical="center"/>
      <protection/>
    </xf>
    <xf numFmtId="187" fontId="0" fillId="0" borderId="16" xfId="66" applyNumberFormat="1" applyFont="1" applyFill="1" applyBorder="1" applyAlignment="1" applyProtection="1">
      <alignment vertical="center"/>
      <protection/>
    </xf>
    <xf numFmtId="187" fontId="0" fillId="0" borderId="38" xfId="66" applyNumberFormat="1" applyFont="1" applyFill="1" applyBorder="1" applyAlignment="1" applyProtection="1">
      <alignment vertical="center"/>
      <protection/>
    </xf>
    <xf numFmtId="187" fontId="0" fillId="0" borderId="39" xfId="66" applyNumberFormat="1" applyFont="1" applyFill="1" applyBorder="1" applyAlignment="1" applyProtection="1">
      <alignment vertical="center"/>
      <protection/>
    </xf>
    <xf numFmtId="187" fontId="0" fillId="0" borderId="33" xfId="66" applyNumberFormat="1" applyFont="1" applyFill="1" applyBorder="1" applyAlignment="1" applyProtection="1">
      <alignment vertical="center"/>
      <protection/>
    </xf>
    <xf numFmtId="0" fontId="0" fillId="0" borderId="45" xfId="0" applyNumberFormat="1" applyBorder="1" applyAlignment="1">
      <alignment vertical="center"/>
    </xf>
    <xf numFmtId="0" fontId="0" fillId="0" borderId="0" xfId="67" applyFont="1" applyFill="1" applyAlignment="1">
      <alignment horizontal="right" vertical="center"/>
      <protection/>
    </xf>
    <xf numFmtId="187" fontId="0" fillId="0" borderId="16" xfId="61" applyNumberFormat="1" applyFont="1" applyFill="1" applyBorder="1" applyAlignment="1" applyProtection="1">
      <alignment vertical="center"/>
      <protection/>
    </xf>
    <xf numFmtId="187" fontId="0" fillId="0" borderId="15" xfId="61" applyNumberFormat="1" applyFont="1" applyFill="1" applyBorder="1" applyAlignment="1" applyProtection="1">
      <alignment vertical="center"/>
      <protection/>
    </xf>
    <xf numFmtId="187" fontId="0" fillId="0" borderId="39" xfId="61" applyNumberFormat="1" applyFont="1" applyFill="1" applyBorder="1" applyAlignment="1" applyProtection="1">
      <alignment vertical="center"/>
      <protection/>
    </xf>
    <xf numFmtId="187" fontId="0" fillId="0" borderId="11" xfId="61" applyNumberFormat="1" applyFont="1" applyFill="1" applyBorder="1" applyAlignment="1" applyProtection="1">
      <alignment vertical="center"/>
      <protection/>
    </xf>
    <xf numFmtId="187" fontId="0" fillId="0" borderId="29" xfId="62" applyNumberFormat="1" applyFont="1" applyFill="1" applyBorder="1" applyAlignment="1" applyProtection="1">
      <alignment vertical="center"/>
      <protection/>
    </xf>
    <xf numFmtId="187" fontId="0" fillId="0" borderId="22" xfId="62" applyNumberFormat="1" applyFont="1" applyFill="1" applyBorder="1" applyAlignment="1" applyProtection="1">
      <alignment vertical="center"/>
      <protection/>
    </xf>
    <xf numFmtId="185" fontId="0" fillId="0" borderId="11" xfId="0" applyNumberFormat="1" applyBorder="1" applyAlignment="1" applyProtection="1">
      <alignment horizontal="right" vertical="center" wrapText="1"/>
      <protection/>
    </xf>
    <xf numFmtId="187" fontId="0" fillId="0" borderId="23" xfId="63" applyNumberFormat="1" applyFill="1" applyBorder="1" applyAlignment="1" applyProtection="1">
      <alignment vertical="center"/>
      <protection/>
    </xf>
    <xf numFmtId="187" fontId="0" fillId="0" borderId="58" xfId="63" applyNumberFormat="1" applyFill="1" applyBorder="1" applyAlignment="1" applyProtection="1">
      <alignment vertical="center"/>
      <protection/>
    </xf>
    <xf numFmtId="0" fontId="0" fillId="0" borderId="45" xfId="0" applyNumberFormat="1" applyBorder="1" applyAlignment="1">
      <alignment horizontal="center" vertical="center"/>
    </xf>
    <xf numFmtId="187" fontId="0" fillId="0" borderId="19" xfId="64" applyNumberFormat="1" applyFill="1" applyBorder="1" applyAlignment="1" applyProtection="1">
      <alignment vertical="center"/>
      <protection/>
    </xf>
    <xf numFmtId="187" fontId="0" fillId="0" borderId="51" xfId="64" applyNumberFormat="1" applyFill="1" applyBorder="1" applyAlignment="1" applyProtection="1">
      <alignment vertical="center"/>
      <protection/>
    </xf>
    <xf numFmtId="37" fontId="0" fillId="0" borderId="36" xfId="0" applyNumberFormat="1" applyBorder="1" applyAlignment="1" applyProtection="1">
      <alignment vertical="center"/>
      <protection/>
    </xf>
    <xf numFmtId="187" fontId="0" fillId="0" borderId="0" xfId="67" applyNumberFormat="1" applyFill="1" applyAlignment="1">
      <alignment vertical="center"/>
      <protection/>
    </xf>
    <xf numFmtId="187" fontId="0" fillId="0" borderId="38" xfId="61" applyNumberFormat="1" applyFont="1" applyFill="1" applyBorder="1" applyAlignment="1">
      <alignment horizontal="center" vertical="center"/>
      <protection/>
    </xf>
    <xf numFmtId="187" fontId="0" fillId="0" borderId="70" xfId="61" applyNumberFormat="1" applyFill="1" applyBorder="1" applyAlignment="1">
      <alignment horizontal="center" vertical="center"/>
      <protection/>
    </xf>
    <xf numFmtId="187" fontId="0" fillId="0" borderId="24" xfId="61" applyNumberFormat="1" applyFill="1" applyBorder="1" applyAlignment="1">
      <alignment horizontal="center" vertical="center"/>
      <protection/>
    </xf>
    <xf numFmtId="187" fontId="0" fillId="0" borderId="51" xfId="61" applyNumberFormat="1" applyFill="1" applyBorder="1" applyAlignment="1">
      <alignment horizontal="center" vertical="center"/>
      <protection/>
    </xf>
    <xf numFmtId="187" fontId="0" fillId="0" borderId="33" xfId="61" applyNumberFormat="1" applyFill="1" applyBorder="1" applyAlignment="1">
      <alignment horizontal="center" vertical="center"/>
      <protection/>
    </xf>
    <xf numFmtId="187" fontId="0" fillId="0" borderId="28" xfId="61" applyNumberFormat="1" applyFill="1" applyBorder="1" applyAlignment="1" applyProtection="1">
      <alignment horizontal="center" vertical="center"/>
      <protection/>
    </xf>
    <xf numFmtId="187" fontId="0" fillId="0" borderId="15" xfId="61" applyNumberFormat="1" applyFill="1" applyBorder="1" applyAlignment="1" applyProtection="1">
      <alignment horizontal="center" vertical="center"/>
      <protection/>
    </xf>
    <xf numFmtId="187" fontId="0" fillId="0" borderId="11" xfId="61" applyNumberFormat="1" applyFill="1" applyBorder="1" applyAlignment="1" applyProtection="1">
      <alignment horizontal="center" vertical="center"/>
      <protection/>
    </xf>
    <xf numFmtId="187" fontId="0" fillId="0" borderId="15" xfId="61" applyNumberFormat="1" applyFont="1" applyFill="1" applyBorder="1" applyAlignment="1" applyProtection="1">
      <alignment horizontal="center" vertical="center"/>
      <protection/>
    </xf>
    <xf numFmtId="187" fontId="0" fillId="0" borderId="11" xfId="61" applyNumberFormat="1" applyFont="1" applyFill="1" applyBorder="1" applyAlignment="1" applyProtection="1">
      <alignment horizontal="center" vertical="center"/>
      <protection/>
    </xf>
    <xf numFmtId="187" fontId="0" fillId="0" borderId="22" xfId="61" applyNumberFormat="1" applyFill="1" applyBorder="1" applyAlignment="1" applyProtection="1">
      <alignment horizontal="center" vertical="center"/>
      <protection/>
    </xf>
    <xf numFmtId="187" fontId="0" fillId="0" borderId="75" xfId="61" applyNumberFormat="1" applyFont="1" applyFill="1" applyBorder="1" applyAlignment="1" applyProtection="1">
      <alignment horizontal="center" vertical="center"/>
      <protection/>
    </xf>
    <xf numFmtId="187" fontId="0" fillId="0" borderId="38" xfId="62" applyNumberFormat="1" applyFill="1" applyBorder="1" applyAlignment="1" applyProtection="1">
      <alignment horizontal="center" vertical="center"/>
      <protection/>
    </xf>
    <xf numFmtId="187" fontId="0" fillId="0" borderId="33" xfId="62" applyNumberFormat="1" applyFill="1" applyBorder="1" applyAlignment="1" applyProtection="1">
      <alignment horizontal="center" vertical="center"/>
      <protection/>
    </xf>
    <xf numFmtId="187" fontId="0" fillId="0" borderId="28" xfId="62" applyNumberFormat="1" applyFill="1" applyBorder="1" applyAlignment="1">
      <alignment horizontal="center" vertical="center"/>
      <protection/>
    </xf>
    <xf numFmtId="187" fontId="0" fillId="0" borderId="15" xfId="62" applyNumberFormat="1" applyFill="1" applyBorder="1" applyAlignment="1" applyProtection="1">
      <alignment horizontal="center" vertical="center"/>
      <protection/>
    </xf>
    <xf numFmtId="187" fontId="0" fillId="0" borderId="11" xfId="62" applyNumberFormat="1" applyFill="1" applyBorder="1" applyAlignment="1" applyProtection="1">
      <alignment horizontal="center" vertical="center"/>
      <protection/>
    </xf>
    <xf numFmtId="187" fontId="0" fillId="0" borderId="28" xfId="62" applyNumberFormat="1" applyFill="1" applyBorder="1" applyAlignment="1" applyProtection="1">
      <alignment horizontal="center" vertical="center"/>
      <protection/>
    </xf>
    <xf numFmtId="187" fontId="0" fillId="0" borderId="49" xfId="62" applyNumberFormat="1" applyFill="1" applyBorder="1" applyAlignment="1" applyProtection="1">
      <alignment horizontal="center" vertical="center"/>
      <protection/>
    </xf>
    <xf numFmtId="187" fontId="0" fillId="0" borderId="22" xfId="62" applyNumberFormat="1" applyFont="1" applyFill="1" applyBorder="1" applyAlignment="1" applyProtection="1">
      <alignment horizontal="center" vertical="center"/>
      <protection/>
    </xf>
    <xf numFmtId="180" fontId="0" fillId="0" borderId="11" xfId="63" applyNumberFormat="1" applyFont="1" applyBorder="1" applyAlignment="1" applyProtection="1">
      <alignment horizontal="center" vertical="center"/>
      <protection/>
    </xf>
    <xf numFmtId="180" fontId="0" fillId="0" borderId="11" xfId="63" applyNumberFormat="1" applyBorder="1" applyAlignment="1" applyProtection="1">
      <alignment horizontal="center" vertical="center"/>
      <protection/>
    </xf>
    <xf numFmtId="37" fontId="0" fillId="0" borderId="11" xfId="63" applyNumberFormat="1" applyBorder="1" applyAlignment="1" applyProtection="1">
      <alignment horizontal="center" vertical="center"/>
      <protection/>
    </xf>
    <xf numFmtId="37" fontId="0" fillId="0" borderId="15" xfId="63" applyNumberFormat="1" applyBorder="1" applyAlignment="1" applyProtection="1">
      <alignment horizontal="center" vertical="center"/>
      <protection/>
    </xf>
    <xf numFmtId="189" fontId="0" fillId="0" borderId="11" xfId="63" applyNumberFormat="1" applyBorder="1" applyAlignment="1" applyProtection="1">
      <alignment horizontal="center" vertical="center"/>
      <protection/>
    </xf>
    <xf numFmtId="180" fontId="0" fillId="0" borderId="15" xfId="63" applyNumberFormat="1" applyBorder="1" applyAlignment="1" applyProtection="1">
      <alignment horizontal="center" vertical="center"/>
      <protection/>
    </xf>
    <xf numFmtId="180" fontId="0" fillId="0" borderId="11" xfId="63" applyNumberFormat="1" applyFill="1" applyBorder="1" applyAlignment="1" applyProtection="1">
      <alignment horizontal="center" vertical="center"/>
      <protection/>
    </xf>
    <xf numFmtId="188" fontId="0" fillId="0" borderId="11" xfId="63" applyNumberFormat="1" applyFont="1" applyFill="1" applyBorder="1" applyAlignment="1" applyProtection="1">
      <alignment horizontal="center" vertical="center"/>
      <protection/>
    </xf>
    <xf numFmtId="187" fontId="0" fillId="0" borderId="11" xfId="67" applyNumberFormat="1" applyFont="1" applyFill="1" applyBorder="1" applyAlignment="1" applyProtection="1">
      <alignment horizontal="center" vertical="center"/>
      <protection/>
    </xf>
    <xf numFmtId="187" fontId="0" fillId="0" borderId="58" xfId="67" applyNumberFormat="1" applyFill="1" applyBorder="1" applyAlignment="1" applyProtection="1">
      <alignment horizontal="center" vertical="center"/>
      <protection/>
    </xf>
    <xf numFmtId="187" fontId="0" fillId="0" borderId="60" xfId="67" applyNumberFormat="1" applyFill="1" applyBorder="1" applyAlignment="1" applyProtection="1">
      <alignment horizontal="center" vertical="center"/>
      <protection/>
    </xf>
    <xf numFmtId="187" fontId="0" fillId="0" borderId="49" xfId="67" applyNumberFormat="1" applyFill="1" applyBorder="1" applyAlignment="1" applyProtection="1">
      <alignment horizontal="center" vertical="center"/>
      <protection/>
    </xf>
    <xf numFmtId="187" fontId="0" fillId="0" borderId="11" xfId="67" applyNumberFormat="1" applyFill="1" applyBorder="1" applyAlignment="1" applyProtection="1">
      <alignment horizontal="center" vertical="center"/>
      <protection/>
    </xf>
    <xf numFmtId="187" fontId="0" fillId="0" borderId="15" xfId="67" applyNumberFormat="1" applyFill="1" applyBorder="1" applyAlignment="1" applyProtection="1">
      <alignment horizontal="center" vertical="center"/>
      <protection/>
    </xf>
    <xf numFmtId="187" fontId="0" fillId="0" borderId="22" xfId="67" applyNumberFormat="1" applyFont="1" applyFill="1" applyBorder="1" applyAlignment="1" applyProtection="1">
      <alignment horizontal="center" vertical="center"/>
      <protection/>
    </xf>
    <xf numFmtId="37" fontId="0" fillId="0" borderId="19" xfId="0" applyNumberFormat="1" applyBorder="1" applyAlignment="1" applyProtection="1">
      <alignment horizontal="center" vertical="center"/>
      <protection/>
    </xf>
    <xf numFmtId="185" fontId="0" fillId="0" borderId="15" xfId="0" applyNumberFormat="1" applyBorder="1" applyAlignment="1" applyProtection="1">
      <alignment horizontal="center" vertical="center"/>
      <protection/>
    </xf>
    <xf numFmtId="185" fontId="0" fillId="0" borderId="11" xfId="0" applyNumberFormat="1" applyBorder="1" applyAlignment="1" applyProtection="1">
      <alignment horizontal="center" vertical="center"/>
      <protection/>
    </xf>
    <xf numFmtId="186" fontId="0" fillId="0" borderId="24" xfId="0" applyNumberFormat="1" applyBorder="1" applyAlignment="1">
      <alignment horizontal="center" vertical="center"/>
    </xf>
    <xf numFmtId="186" fontId="0" fillId="0" borderId="26" xfId="0" applyNumberFormat="1" applyBorder="1" applyAlignment="1">
      <alignment horizontal="center" vertical="center"/>
    </xf>
    <xf numFmtId="186" fontId="0" fillId="0" borderId="33" xfId="0" applyNumberFormat="1" applyBorder="1" applyAlignment="1">
      <alignment horizontal="center" vertical="center"/>
    </xf>
    <xf numFmtId="185" fontId="0" fillId="0" borderId="21" xfId="0" applyNumberFormat="1" applyBorder="1" applyAlignment="1">
      <alignment horizontal="center" vertical="center"/>
    </xf>
    <xf numFmtId="0" fontId="0" fillId="0" borderId="19" xfId="61" applyFont="1" applyFill="1" applyBorder="1" applyAlignment="1">
      <alignment vertical="center"/>
      <protection/>
    </xf>
    <xf numFmtId="187" fontId="0" fillId="0" borderId="24" xfId="63" applyNumberFormat="1" applyFill="1" applyBorder="1" applyAlignment="1" applyProtection="1">
      <alignment horizontal="center" vertical="center"/>
      <protection/>
    </xf>
    <xf numFmtId="188" fontId="0" fillId="0" borderId="55" xfId="63" applyNumberFormat="1" applyFill="1" applyBorder="1" applyAlignment="1" applyProtection="1">
      <alignment horizontal="center" vertical="center"/>
      <protection/>
    </xf>
    <xf numFmtId="188" fontId="0" fillId="0" borderId="82" xfId="63" applyNumberFormat="1" applyFill="1" applyBorder="1" applyAlignment="1" applyProtection="1">
      <alignment vertical="center"/>
      <protection/>
    </xf>
    <xf numFmtId="183" fontId="0" fillId="0" borderId="83" xfId="63" applyNumberFormat="1" applyFont="1" applyFill="1" applyBorder="1" applyAlignment="1">
      <alignment vertical="center"/>
      <protection/>
    </xf>
    <xf numFmtId="183" fontId="0" fillId="0" borderId="83" xfId="0" applyNumberFormat="1" applyFont="1" applyFill="1" applyBorder="1" applyAlignment="1" applyProtection="1">
      <alignment vertical="center"/>
      <protection/>
    </xf>
    <xf numFmtId="183" fontId="0" fillId="0" borderId="83" xfId="67" applyNumberFormat="1" applyFont="1" applyFill="1" applyBorder="1" applyAlignment="1" applyProtection="1">
      <alignment vertical="center"/>
      <protection/>
    </xf>
    <xf numFmtId="0" fontId="0" fillId="0" borderId="64" xfId="63" applyFont="1" applyFill="1" applyBorder="1" applyAlignment="1">
      <alignment vertical="center"/>
      <protection/>
    </xf>
    <xf numFmtId="0" fontId="0" fillId="0" borderId="64" xfId="63" applyFont="1" applyFill="1" applyBorder="1" applyAlignment="1" quotePrefix="1">
      <alignment horizontal="left" vertical="center"/>
      <protection/>
    </xf>
    <xf numFmtId="176" fontId="0" fillId="0" borderId="64" xfId="0" applyFont="1" applyFill="1" applyBorder="1" applyAlignment="1">
      <alignment vertical="center"/>
    </xf>
    <xf numFmtId="176" fontId="0" fillId="0" borderId="64" xfId="0" applyFont="1" applyFill="1" applyBorder="1" applyAlignment="1" quotePrefix="1">
      <alignment horizontal="left" vertical="center"/>
    </xf>
    <xf numFmtId="0" fontId="0" fillId="0" borderId="64" xfId="67" applyFont="1" applyFill="1" applyBorder="1" applyAlignment="1">
      <alignment vertical="center"/>
      <protection/>
    </xf>
    <xf numFmtId="0" fontId="0" fillId="0" borderId="84" xfId="67" applyFont="1" applyFill="1" applyBorder="1" applyAlignment="1">
      <alignment vertical="center"/>
      <protection/>
    </xf>
    <xf numFmtId="187" fontId="0" fillId="0" borderId="66" xfId="0" applyNumberFormat="1" applyFont="1" applyFill="1" applyBorder="1" applyAlignment="1" applyProtection="1">
      <alignment vertical="center"/>
      <protection/>
    </xf>
    <xf numFmtId="187" fontId="0" fillId="0" borderId="66" xfId="63" applyNumberFormat="1" applyFont="1" applyFill="1" applyBorder="1" applyAlignment="1">
      <alignment vertical="center"/>
      <protection/>
    </xf>
    <xf numFmtId="187" fontId="0" fillId="0" borderId="66" xfId="49" applyNumberFormat="1" applyFont="1" applyFill="1" applyBorder="1" applyAlignment="1">
      <alignment vertical="center"/>
    </xf>
    <xf numFmtId="187" fontId="0" fillId="0" borderId="66" xfId="65" applyNumberFormat="1" applyFont="1" applyFill="1" applyBorder="1" applyAlignment="1" applyProtection="1">
      <alignment vertical="center"/>
      <protection/>
    </xf>
    <xf numFmtId="187" fontId="0" fillId="0" borderId="85" xfId="65" applyNumberFormat="1" applyFont="1" applyFill="1" applyBorder="1" applyAlignment="1" applyProtection="1">
      <alignment vertical="center"/>
      <protection/>
    </xf>
    <xf numFmtId="187" fontId="0" fillId="0" borderId="86" xfId="67" applyNumberFormat="1" applyFont="1" applyFill="1" applyBorder="1" applyAlignment="1" applyProtection="1">
      <alignment vertical="center"/>
      <protection/>
    </xf>
    <xf numFmtId="183" fontId="0" fillId="0" borderId="83" xfId="0" applyNumberFormat="1" applyBorder="1" applyAlignment="1">
      <alignment vertical="center" shrinkToFit="1"/>
    </xf>
    <xf numFmtId="194" fontId="0" fillId="0" borderId="83" xfId="0" applyNumberFormat="1" applyBorder="1" applyAlignment="1">
      <alignment vertical="center" shrinkToFit="1"/>
    </xf>
    <xf numFmtId="194" fontId="0" fillId="0" borderId="86" xfId="67" applyNumberFormat="1" applyFont="1" applyFill="1" applyBorder="1" applyAlignment="1" applyProtection="1">
      <alignment vertical="center"/>
      <protection/>
    </xf>
    <xf numFmtId="57" fontId="10" fillId="0" borderId="42" xfId="0" applyNumberFormat="1" applyFont="1" applyBorder="1" applyAlignment="1">
      <alignment horizontal="center" wrapText="1"/>
    </xf>
    <xf numFmtId="0" fontId="0" fillId="0" borderId="60" xfId="64" applyFont="1" applyFill="1" applyBorder="1" applyAlignment="1">
      <alignment vertical="center" wrapText="1"/>
      <protection/>
    </xf>
    <xf numFmtId="0" fontId="0" fillId="0" borderId="87" xfId="64" applyFont="1" applyFill="1" applyBorder="1" applyAlignment="1">
      <alignment vertic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病院　繰入金調その１" xfId="61"/>
    <cellStyle name="標準_病院　繰入金調その２" xfId="62"/>
    <cellStyle name="標準_病院　経営分析表" xfId="63"/>
    <cellStyle name="標準_病院　資本的収支" xfId="64"/>
    <cellStyle name="標準_病院　収益費用構成表" xfId="65"/>
    <cellStyle name="標準_病院　損益計算書" xfId="66"/>
    <cellStyle name="標準_病院　貸借対照表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V47"/>
  <sheetViews>
    <sheetView showGridLines="0" showZeros="0" tabSelected="1" view="pageBreakPreview" zoomScale="50" zoomScaleNormal="65" zoomScaleSheetLayoutView="50" zoomScalePageLayoutView="0" workbookViewId="0" topLeftCell="A1">
      <pane xSplit="3" ySplit="8" topLeftCell="D9" activePane="bottomRight" state="frozen"/>
      <selection pane="topLeft" activeCell="D31" sqref="D31:P31"/>
      <selection pane="topRight" activeCell="D31" sqref="D31:P31"/>
      <selection pane="bottomLeft" activeCell="D31" sqref="D31:P31"/>
      <selection pane="bottomRight" activeCell="B1" sqref="B1"/>
    </sheetView>
  </sheetViews>
  <sheetFormatPr defaultColWidth="8.66015625" defaultRowHeight="18"/>
  <cols>
    <col min="1" max="1" width="1.66015625" style="34" customWidth="1"/>
    <col min="2" max="2" width="6.66015625" style="1" customWidth="1"/>
    <col min="3" max="3" width="18.66015625" style="1" customWidth="1"/>
    <col min="4" max="16" width="15.16015625" style="1" customWidth="1"/>
    <col min="17" max="17" width="16.66015625" style="1" customWidth="1"/>
    <col min="18" max="18" width="1.66015625" style="34" customWidth="1"/>
    <col min="19" max="19" width="2.66015625" style="1" customWidth="1"/>
    <col min="20" max="23" width="8.66015625" style="1" customWidth="1"/>
    <col min="24" max="24" width="8.83203125" style="1" bestFit="1" customWidth="1"/>
    <col min="25" max="25" width="9.33203125" style="1" bestFit="1" customWidth="1"/>
    <col min="26" max="16384" width="8.66015625" style="1" customWidth="1"/>
  </cols>
  <sheetData>
    <row r="1" spans="2:17" ht="40.5" customHeight="1">
      <c r="B1" s="64" t="s">
        <v>503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2:17" ht="30.75" customHeigh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ht="30.75" customHeight="1" thickBot="1"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2:18" ht="27.75" customHeight="1">
      <c r="B4" s="33"/>
      <c r="C4" s="34"/>
      <c r="D4" s="33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3"/>
    </row>
    <row r="5" spans="2:18" ht="27.75" customHeight="1">
      <c r="B5" s="33"/>
      <c r="C5" s="34" t="s">
        <v>2</v>
      </c>
      <c r="D5" s="36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37" t="s">
        <v>8</v>
      </c>
      <c r="J5" s="37" t="s">
        <v>9</v>
      </c>
      <c r="K5" s="37" t="s">
        <v>238</v>
      </c>
      <c r="L5" s="37" t="s">
        <v>239</v>
      </c>
      <c r="M5" s="37" t="s">
        <v>240</v>
      </c>
      <c r="N5" s="37" t="s">
        <v>10</v>
      </c>
      <c r="O5" s="37" t="s">
        <v>241</v>
      </c>
      <c r="P5" s="37" t="s">
        <v>11</v>
      </c>
      <c r="Q5" s="35"/>
      <c r="R5" s="33"/>
    </row>
    <row r="6" spans="2:18" ht="27.75" customHeight="1">
      <c r="B6" s="33"/>
      <c r="C6" s="34"/>
      <c r="D6" s="33"/>
      <c r="E6" s="35"/>
      <c r="F6" s="35"/>
      <c r="G6" s="502" t="s">
        <v>504</v>
      </c>
      <c r="H6" s="35"/>
      <c r="I6" s="35"/>
      <c r="J6" s="35"/>
      <c r="K6" s="35"/>
      <c r="L6" s="35"/>
      <c r="M6" s="35"/>
      <c r="N6" s="35"/>
      <c r="O6" s="35"/>
      <c r="P6" s="35"/>
      <c r="Q6" s="37" t="s">
        <v>12</v>
      </c>
      <c r="R6" s="33"/>
    </row>
    <row r="7" spans="2:18" ht="27.75" customHeight="1">
      <c r="B7" s="33" t="s">
        <v>13</v>
      </c>
      <c r="C7" s="34"/>
      <c r="D7" s="33" t="s">
        <v>323</v>
      </c>
      <c r="E7" s="35" t="s">
        <v>323</v>
      </c>
      <c r="F7" s="35"/>
      <c r="G7" s="502"/>
      <c r="H7" s="35"/>
      <c r="I7" s="35"/>
      <c r="J7" s="35" t="s">
        <v>323</v>
      </c>
      <c r="K7" s="54" t="s">
        <v>324</v>
      </c>
      <c r="L7" s="35" t="s">
        <v>322</v>
      </c>
      <c r="M7" s="35" t="s">
        <v>325</v>
      </c>
      <c r="N7" s="35" t="s">
        <v>325</v>
      </c>
      <c r="O7" s="35" t="s">
        <v>326</v>
      </c>
      <c r="P7" s="35"/>
      <c r="Q7" s="35"/>
      <c r="R7" s="33"/>
    </row>
    <row r="8" spans="2:18" ht="27.75" customHeight="1" thickBot="1">
      <c r="B8" s="38"/>
      <c r="C8" s="39"/>
      <c r="D8" s="38" t="s">
        <v>242</v>
      </c>
      <c r="E8" s="40" t="s">
        <v>243</v>
      </c>
      <c r="F8" s="35" t="s">
        <v>327</v>
      </c>
      <c r="G8" s="422" t="s">
        <v>328</v>
      </c>
      <c r="H8" s="40" t="s">
        <v>329</v>
      </c>
      <c r="I8" s="40" t="s">
        <v>330</v>
      </c>
      <c r="J8" s="40" t="s">
        <v>331</v>
      </c>
      <c r="K8" s="40" t="s">
        <v>332</v>
      </c>
      <c r="L8" s="55" t="s">
        <v>337</v>
      </c>
      <c r="M8" s="40" t="s">
        <v>333</v>
      </c>
      <c r="N8" s="40" t="s">
        <v>334</v>
      </c>
      <c r="O8" s="40" t="s">
        <v>335</v>
      </c>
      <c r="P8" s="40" t="s">
        <v>336</v>
      </c>
      <c r="Q8" s="40"/>
      <c r="R8" s="33"/>
    </row>
    <row r="9" spans="2:48" ht="30.75" customHeight="1">
      <c r="B9" s="41" t="s">
        <v>19</v>
      </c>
      <c r="C9" s="42"/>
      <c r="D9" s="2" t="s">
        <v>20</v>
      </c>
      <c r="E9" s="3" t="s">
        <v>20</v>
      </c>
      <c r="F9" s="436" t="s">
        <v>505</v>
      </c>
      <c r="G9" s="473" t="s">
        <v>507</v>
      </c>
      <c r="H9" s="3" t="s">
        <v>20</v>
      </c>
      <c r="I9" s="3" t="s">
        <v>20</v>
      </c>
      <c r="J9" s="3" t="s">
        <v>20</v>
      </c>
      <c r="K9" s="3" t="s">
        <v>20</v>
      </c>
      <c r="L9" s="3" t="s">
        <v>20</v>
      </c>
      <c r="M9" s="3" t="s">
        <v>20</v>
      </c>
      <c r="N9" s="3" t="s">
        <v>20</v>
      </c>
      <c r="O9" s="3" t="s">
        <v>20</v>
      </c>
      <c r="P9" s="3" t="s">
        <v>20</v>
      </c>
      <c r="Q9" s="17">
        <v>13</v>
      </c>
      <c r="R9" s="66" t="s">
        <v>21</v>
      </c>
      <c r="S9" s="4" t="s">
        <v>21</v>
      </c>
      <c r="T9" s="4" t="s">
        <v>21</v>
      </c>
      <c r="U9" s="4" t="s">
        <v>21</v>
      </c>
      <c r="V9" s="4" t="s">
        <v>21</v>
      </c>
      <c r="W9" s="4" t="s">
        <v>21</v>
      </c>
      <c r="X9" s="4" t="s">
        <v>21</v>
      </c>
      <c r="Y9" s="4" t="s">
        <v>21</v>
      </c>
      <c r="Z9" s="4" t="s">
        <v>21</v>
      </c>
      <c r="AA9" s="4" t="s">
        <v>21</v>
      </c>
      <c r="AB9" s="4" t="s">
        <v>21</v>
      </c>
      <c r="AC9" s="4" t="s">
        <v>21</v>
      </c>
      <c r="AD9" s="4" t="s">
        <v>21</v>
      </c>
      <c r="AE9" s="4" t="s">
        <v>21</v>
      </c>
      <c r="AF9" s="4" t="s">
        <v>21</v>
      </c>
      <c r="AG9" s="4" t="s">
        <v>21</v>
      </c>
      <c r="AH9" s="4" t="s">
        <v>21</v>
      </c>
      <c r="AI9" s="4" t="s">
        <v>21</v>
      </c>
      <c r="AJ9" s="4" t="s">
        <v>21</v>
      </c>
      <c r="AK9" s="4" t="s">
        <v>21</v>
      </c>
      <c r="AL9" s="4" t="s">
        <v>21</v>
      </c>
      <c r="AM9" s="4" t="s">
        <v>21</v>
      </c>
      <c r="AN9" s="4" t="s">
        <v>21</v>
      </c>
      <c r="AO9" s="4" t="s">
        <v>21</v>
      </c>
      <c r="AP9" s="4" t="s">
        <v>21</v>
      </c>
      <c r="AQ9" s="4" t="s">
        <v>21</v>
      </c>
      <c r="AR9" s="4" t="s">
        <v>21</v>
      </c>
      <c r="AS9" s="4" t="s">
        <v>21</v>
      </c>
      <c r="AT9" s="4" t="s">
        <v>21</v>
      </c>
      <c r="AU9" s="4" t="s">
        <v>21</v>
      </c>
      <c r="AV9" s="4" t="s">
        <v>22</v>
      </c>
    </row>
    <row r="10" spans="2:48" ht="30.75" customHeight="1">
      <c r="B10" s="41" t="s">
        <v>23</v>
      </c>
      <c r="C10" s="42"/>
      <c r="D10" s="5" t="s">
        <v>24</v>
      </c>
      <c r="E10" s="6" t="s">
        <v>24</v>
      </c>
      <c r="F10" s="6" t="s">
        <v>24</v>
      </c>
      <c r="G10" s="6" t="s">
        <v>506</v>
      </c>
      <c r="H10" s="6" t="s">
        <v>24</v>
      </c>
      <c r="I10" s="6" t="s">
        <v>24</v>
      </c>
      <c r="J10" s="6" t="s">
        <v>494</v>
      </c>
      <c r="K10" s="6" t="s">
        <v>494</v>
      </c>
      <c r="L10" s="6" t="s">
        <v>24</v>
      </c>
      <c r="M10" s="6" t="s">
        <v>494</v>
      </c>
      <c r="N10" s="6" t="s">
        <v>494</v>
      </c>
      <c r="O10" s="6" t="s">
        <v>495</v>
      </c>
      <c r="P10" s="6" t="s">
        <v>24</v>
      </c>
      <c r="Q10" s="430"/>
      <c r="R10" s="66" t="s">
        <v>21</v>
      </c>
      <c r="S10" s="4" t="s">
        <v>21</v>
      </c>
      <c r="T10" s="4" t="s">
        <v>21</v>
      </c>
      <c r="U10" s="4" t="s">
        <v>21</v>
      </c>
      <c r="V10" s="4" t="s">
        <v>21</v>
      </c>
      <c r="W10" s="4" t="s">
        <v>21</v>
      </c>
      <c r="X10" s="4" t="s">
        <v>21</v>
      </c>
      <c r="Y10" s="4" t="s">
        <v>21</v>
      </c>
      <c r="Z10" s="4" t="s">
        <v>21</v>
      </c>
      <c r="AA10" s="4" t="s">
        <v>21</v>
      </c>
      <c r="AB10" s="4" t="s">
        <v>21</v>
      </c>
      <c r="AC10" s="4" t="s">
        <v>21</v>
      </c>
      <c r="AD10" s="4" t="s">
        <v>21</v>
      </c>
      <c r="AE10" s="4" t="s">
        <v>21</v>
      </c>
      <c r="AF10" s="4" t="s">
        <v>21</v>
      </c>
      <c r="AG10" s="4" t="s">
        <v>21</v>
      </c>
      <c r="AH10" s="4" t="s">
        <v>21</v>
      </c>
      <c r="AI10" s="4" t="s">
        <v>21</v>
      </c>
      <c r="AJ10" s="4" t="s">
        <v>21</v>
      </c>
      <c r="AK10" s="4" t="s">
        <v>21</v>
      </c>
      <c r="AL10" s="4" t="s">
        <v>21</v>
      </c>
      <c r="AM10" s="4" t="s">
        <v>21</v>
      </c>
      <c r="AN10" s="4" t="s">
        <v>21</v>
      </c>
      <c r="AO10" s="4" t="s">
        <v>21</v>
      </c>
      <c r="AP10" s="4" t="s">
        <v>21</v>
      </c>
      <c r="AQ10" s="4" t="s">
        <v>21</v>
      </c>
      <c r="AR10" s="4" t="s">
        <v>21</v>
      </c>
      <c r="AS10" s="4" t="s">
        <v>21</v>
      </c>
      <c r="AT10" s="4" t="s">
        <v>21</v>
      </c>
      <c r="AU10" s="4" t="s">
        <v>21</v>
      </c>
      <c r="AV10" s="4" t="s">
        <v>22</v>
      </c>
    </row>
    <row r="11" spans="2:48" ht="30.75" customHeight="1">
      <c r="B11" s="41" t="s">
        <v>25</v>
      </c>
      <c r="C11" s="42"/>
      <c r="D11" s="7" t="s">
        <v>320</v>
      </c>
      <c r="E11" s="8" t="s">
        <v>320</v>
      </c>
      <c r="F11" s="8" t="s">
        <v>320</v>
      </c>
      <c r="G11" s="8" t="s">
        <v>506</v>
      </c>
      <c r="H11" s="8" t="s">
        <v>320</v>
      </c>
      <c r="I11" s="8" t="s">
        <v>320</v>
      </c>
      <c r="J11" s="8" t="s">
        <v>320</v>
      </c>
      <c r="K11" s="8" t="s">
        <v>320</v>
      </c>
      <c r="L11" s="8" t="s">
        <v>320</v>
      </c>
      <c r="M11" s="8" t="s">
        <v>320</v>
      </c>
      <c r="N11" s="8" t="s">
        <v>321</v>
      </c>
      <c r="O11" s="8" t="s">
        <v>320</v>
      </c>
      <c r="P11" s="8" t="s">
        <v>320</v>
      </c>
      <c r="Q11" s="17">
        <v>12</v>
      </c>
      <c r="R11" s="66" t="s">
        <v>21</v>
      </c>
      <c r="S11" s="4" t="s">
        <v>21</v>
      </c>
      <c r="T11" s="4" t="s">
        <v>21</v>
      </c>
      <c r="U11" s="4" t="s">
        <v>21</v>
      </c>
      <c r="V11" s="4" t="s">
        <v>21</v>
      </c>
      <c r="W11" s="4" t="s">
        <v>21</v>
      </c>
      <c r="X11" s="4" t="s">
        <v>21</v>
      </c>
      <c r="Y11" s="4" t="s">
        <v>21</v>
      </c>
      <c r="Z11" s="4" t="s">
        <v>21</v>
      </c>
      <c r="AA11" s="4" t="s">
        <v>21</v>
      </c>
      <c r="AB11" s="4" t="s">
        <v>21</v>
      </c>
      <c r="AC11" s="4" t="s">
        <v>21</v>
      </c>
      <c r="AD11" s="4" t="s">
        <v>21</v>
      </c>
      <c r="AE11" s="4" t="s">
        <v>21</v>
      </c>
      <c r="AF11" s="4" t="s">
        <v>21</v>
      </c>
      <c r="AG11" s="4" t="s">
        <v>21</v>
      </c>
      <c r="AH11" s="4" t="s">
        <v>21</v>
      </c>
      <c r="AI11" s="4" t="s">
        <v>21</v>
      </c>
      <c r="AJ11" s="4" t="s">
        <v>21</v>
      </c>
      <c r="AK11" s="4" t="s">
        <v>21</v>
      </c>
      <c r="AL11" s="4" t="s">
        <v>21</v>
      </c>
      <c r="AM11" s="4" t="s">
        <v>21</v>
      </c>
      <c r="AN11" s="4" t="s">
        <v>21</v>
      </c>
      <c r="AO11" s="4" t="s">
        <v>21</v>
      </c>
      <c r="AP11" s="4" t="s">
        <v>21</v>
      </c>
      <c r="AQ11" s="4" t="s">
        <v>21</v>
      </c>
      <c r="AR11" s="4" t="s">
        <v>21</v>
      </c>
      <c r="AS11" s="4" t="s">
        <v>21</v>
      </c>
      <c r="AT11" s="4" t="s">
        <v>21</v>
      </c>
      <c r="AU11" s="4" t="s">
        <v>21</v>
      </c>
      <c r="AV11" s="4" t="s">
        <v>22</v>
      </c>
    </row>
    <row r="12" spans="2:18" ht="30.75" customHeight="1">
      <c r="B12" s="36" t="s">
        <v>26</v>
      </c>
      <c r="C12" s="43" t="s">
        <v>27</v>
      </c>
      <c r="D12" s="14">
        <v>566</v>
      </c>
      <c r="E12" s="15">
        <v>285</v>
      </c>
      <c r="F12" s="15">
        <v>326</v>
      </c>
      <c r="G12" s="474" t="s">
        <v>506</v>
      </c>
      <c r="H12" s="15">
        <v>200</v>
      </c>
      <c r="I12" s="15">
        <v>199</v>
      </c>
      <c r="J12" s="15">
        <v>100</v>
      </c>
      <c r="K12" s="15">
        <v>50</v>
      </c>
      <c r="L12" s="15">
        <v>241</v>
      </c>
      <c r="M12" s="15">
        <v>30</v>
      </c>
      <c r="N12" s="15">
        <v>20</v>
      </c>
      <c r="O12" s="15">
        <v>41</v>
      </c>
      <c r="P12" s="15">
        <v>234</v>
      </c>
      <c r="Q12" s="15">
        <f aca="true" t="shared" si="0" ref="Q12:Q17">SUM(D12:P12)</f>
        <v>2292</v>
      </c>
      <c r="R12" s="33"/>
    </row>
    <row r="13" spans="2:18" ht="30.75" customHeight="1">
      <c r="B13" s="36"/>
      <c r="C13" s="43" t="s">
        <v>236</v>
      </c>
      <c r="D13" s="14">
        <v>0</v>
      </c>
      <c r="E13" s="15">
        <v>37</v>
      </c>
      <c r="F13" s="15">
        <v>0</v>
      </c>
      <c r="G13" s="474" t="s">
        <v>506</v>
      </c>
      <c r="H13" s="15">
        <v>0</v>
      </c>
      <c r="I13" s="15">
        <v>56</v>
      </c>
      <c r="J13" s="15">
        <v>0</v>
      </c>
      <c r="K13" s="15">
        <v>40</v>
      </c>
      <c r="L13" s="15">
        <v>40</v>
      </c>
      <c r="M13" s="15">
        <v>0</v>
      </c>
      <c r="N13" s="15">
        <v>30</v>
      </c>
      <c r="O13" s="15">
        <v>35</v>
      </c>
      <c r="P13" s="15">
        <v>40</v>
      </c>
      <c r="Q13" s="15">
        <f t="shared" si="0"/>
        <v>278</v>
      </c>
      <c r="R13" s="33"/>
    </row>
    <row r="14" spans="2:18" ht="30.75" customHeight="1">
      <c r="B14" s="33"/>
      <c r="C14" s="43" t="s">
        <v>28</v>
      </c>
      <c r="D14" s="14">
        <v>0</v>
      </c>
      <c r="E14" s="15">
        <v>0</v>
      </c>
      <c r="F14" s="15">
        <v>0</v>
      </c>
      <c r="G14" s="474" t="s">
        <v>506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10</v>
      </c>
      <c r="Q14" s="15">
        <f t="shared" si="0"/>
        <v>10</v>
      </c>
      <c r="R14" s="33"/>
    </row>
    <row r="15" spans="2:18" ht="30.75" customHeight="1">
      <c r="B15" s="69" t="s">
        <v>29</v>
      </c>
      <c r="C15" s="43" t="s">
        <v>30</v>
      </c>
      <c r="D15" s="14">
        <v>0</v>
      </c>
      <c r="E15" s="15">
        <v>0</v>
      </c>
      <c r="F15" s="15">
        <v>0</v>
      </c>
      <c r="G15" s="474" t="s">
        <v>506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f t="shared" si="0"/>
        <v>0</v>
      </c>
      <c r="R15" s="33"/>
    </row>
    <row r="16" spans="2:18" ht="30.75" customHeight="1">
      <c r="B16" s="33"/>
      <c r="C16" s="44" t="s">
        <v>277</v>
      </c>
      <c r="D16" s="14">
        <v>2</v>
      </c>
      <c r="E16" s="15">
        <v>0</v>
      </c>
      <c r="F16" s="15">
        <v>2</v>
      </c>
      <c r="G16" s="474" t="s">
        <v>506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4</v>
      </c>
      <c r="Q16" s="15">
        <f t="shared" si="0"/>
        <v>8</v>
      </c>
      <c r="R16" s="33"/>
    </row>
    <row r="17" spans="2:18" ht="30.75" customHeight="1">
      <c r="B17" s="45" t="s">
        <v>31</v>
      </c>
      <c r="C17" s="46" t="s">
        <v>12</v>
      </c>
      <c r="D17" s="16">
        <f>SUM(D12:D16)</f>
        <v>568</v>
      </c>
      <c r="E17" s="17">
        <f aca="true" t="shared" si="1" ref="E17:P17">SUM(E12:E16)</f>
        <v>322</v>
      </c>
      <c r="F17" s="17">
        <f t="shared" si="1"/>
        <v>328</v>
      </c>
      <c r="G17" s="475" t="s">
        <v>506</v>
      </c>
      <c r="H17" s="17">
        <f t="shared" si="1"/>
        <v>200</v>
      </c>
      <c r="I17" s="17">
        <f t="shared" si="1"/>
        <v>255</v>
      </c>
      <c r="J17" s="17">
        <f t="shared" si="1"/>
        <v>100</v>
      </c>
      <c r="K17" s="17">
        <f t="shared" si="1"/>
        <v>90</v>
      </c>
      <c r="L17" s="17">
        <f t="shared" si="1"/>
        <v>281</v>
      </c>
      <c r="M17" s="17">
        <f t="shared" si="1"/>
        <v>30</v>
      </c>
      <c r="N17" s="17">
        <f t="shared" si="1"/>
        <v>50</v>
      </c>
      <c r="O17" s="17">
        <f t="shared" si="1"/>
        <v>76</v>
      </c>
      <c r="P17" s="17">
        <f t="shared" si="1"/>
        <v>288</v>
      </c>
      <c r="Q17" s="17">
        <f t="shared" si="0"/>
        <v>2588</v>
      </c>
      <c r="R17" s="33"/>
    </row>
    <row r="18" spans="2:18" ht="30.75" customHeight="1">
      <c r="B18" s="36" t="s">
        <v>32</v>
      </c>
      <c r="C18" s="47" t="s">
        <v>251</v>
      </c>
      <c r="D18" s="14">
        <v>48144</v>
      </c>
      <c r="E18" s="15">
        <v>19843</v>
      </c>
      <c r="F18" s="15">
        <v>23848</v>
      </c>
      <c r="G18" s="474" t="s">
        <v>506</v>
      </c>
      <c r="H18" s="15">
        <v>18102</v>
      </c>
      <c r="I18" s="15">
        <v>19705</v>
      </c>
      <c r="J18" s="15">
        <v>6980</v>
      </c>
      <c r="K18" s="15">
        <v>5358</v>
      </c>
      <c r="L18" s="15">
        <v>15528</v>
      </c>
      <c r="M18" s="15">
        <v>2087</v>
      </c>
      <c r="N18" s="15">
        <v>3964</v>
      </c>
      <c r="O18" s="15">
        <v>2776</v>
      </c>
      <c r="P18" s="15">
        <v>20557</v>
      </c>
      <c r="Q18" s="15">
        <f aca="true" t="shared" si="2" ref="Q18:Q23">SUM(D18:P18)</f>
        <v>186892</v>
      </c>
      <c r="R18" s="33"/>
    </row>
    <row r="19" spans="2:18" ht="30.75" customHeight="1">
      <c r="B19" s="36" t="s">
        <v>33</v>
      </c>
      <c r="C19" s="47" t="s">
        <v>250</v>
      </c>
      <c r="D19" s="14">
        <v>0</v>
      </c>
      <c r="E19" s="15">
        <v>1165</v>
      </c>
      <c r="F19" s="15">
        <v>0</v>
      </c>
      <c r="G19" s="474" t="s">
        <v>506</v>
      </c>
      <c r="H19" s="15">
        <v>0</v>
      </c>
      <c r="I19" s="15">
        <v>97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515</v>
      </c>
      <c r="P19" s="15">
        <v>0</v>
      </c>
      <c r="Q19" s="15">
        <f t="shared" si="2"/>
        <v>1777</v>
      </c>
      <c r="R19" s="33"/>
    </row>
    <row r="20" spans="2:18" ht="30.75" customHeight="1">
      <c r="B20" s="36" t="s">
        <v>34</v>
      </c>
      <c r="C20" s="47" t="s">
        <v>249</v>
      </c>
      <c r="D20" s="14">
        <v>0</v>
      </c>
      <c r="E20" s="15">
        <v>0</v>
      </c>
      <c r="F20" s="15">
        <v>0</v>
      </c>
      <c r="G20" s="474" t="s">
        <v>506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f t="shared" si="2"/>
        <v>0</v>
      </c>
      <c r="R20" s="33"/>
    </row>
    <row r="21" spans="2:18" ht="30.75" customHeight="1">
      <c r="B21" s="41" t="s">
        <v>35</v>
      </c>
      <c r="C21" s="46" t="s">
        <v>12</v>
      </c>
      <c r="D21" s="16">
        <f>SUM(D18:D20)</f>
        <v>48144</v>
      </c>
      <c r="E21" s="17">
        <f aca="true" t="shared" si="3" ref="E21:P21">SUM(E18:E20)</f>
        <v>21008</v>
      </c>
      <c r="F21" s="17">
        <f t="shared" si="3"/>
        <v>23848</v>
      </c>
      <c r="G21" s="475" t="s">
        <v>506</v>
      </c>
      <c r="H21" s="17">
        <f t="shared" si="3"/>
        <v>18102</v>
      </c>
      <c r="I21" s="17">
        <f t="shared" si="3"/>
        <v>19802</v>
      </c>
      <c r="J21" s="17">
        <f t="shared" si="3"/>
        <v>6980</v>
      </c>
      <c r="K21" s="17">
        <f t="shared" si="3"/>
        <v>5358</v>
      </c>
      <c r="L21" s="17">
        <f t="shared" si="3"/>
        <v>15528</v>
      </c>
      <c r="M21" s="17">
        <f t="shared" si="3"/>
        <v>2087</v>
      </c>
      <c r="N21" s="17">
        <f t="shared" si="3"/>
        <v>3964</v>
      </c>
      <c r="O21" s="17">
        <f t="shared" si="3"/>
        <v>3291</v>
      </c>
      <c r="P21" s="17">
        <f t="shared" si="3"/>
        <v>20557</v>
      </c>
      <c r="Q21" s="17">
        <f t="shared" si="2"/>
        <v>188669</v>
      </c>
      <c r="R21" s="33"/>
    </row>
    <row r="22" spans="2:18" ht="30.75" customHeight="1">
      <c r="B22" s="33" t="s">
        <v>36</v>
      </c>
      <c r="C22" s="47" t="s">
        <v>248</v>
      </c>
      <c r="D22" s="14">
        <v>0</v>
      </c>
      <c r="E22" s="15">
        <v>0</v>
      </c>
      <c r="F22" s="15">
        <v>0</v>
      </c>
      <c r="G22" s="474" t="s">
        <v>506</v>
      </c>
      <c r="H22" s="15">
        <v>60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f t="shared" si="2"/>
        <v>60</v>
      </c>
      <c r="R22" s="33"/>
    </row>
    <row r="23" spans="2:18" ht="30.75" customHeight="1">
      <c r="B23" s="41" t="s">
        <v>37</v>
      </c>
      <c r="C23" s="48" t="s">
        <v>247</v>
      </c>
      <c r="D23" s="16">
        <v>0</v>
      </c>
      <c r="E23" s="17">
        <v>0</v>
      </c>
      <c r="F23" s="17">
        <v>0</v>
      </c>
      <c r="G23" s="475" t="s">
        <v>506</v>
      </c>
      <c r="H23" s="17">
        <v>65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f t="shared" si="2"/>
        <v>65</v>
      </c>
      <c r="R23" s="33"/>
    </row>
    <row r="24" spans="1:48" s="10" customFormat="1" ht="30.75" customHeight="1">
      <c r="A24" s="65"/>
      <c r="B24" s="49" t="s">
        <v>278</v>
      </c>
      <c r="C24" s="50"/>
      <c r="D24" s="57" t="s">
        <v>496</v>
      </c>
      <c r="E24" s="58" t="s">
        <v>496</v>
      </c>
      <c r="F24" s="58" t="s">
        <v>496</v>
      </c>
      <c r="G24" s="58" t="s">
        <v>506</v>
      </c>
      <c r="H24" s="59" t="s">
        <v>496</v>
      </c>
      <c r="I24" s="58" t="s">
        <v>497</v>
      </c>
      <c r="J24" s="58" t="s">
        <v>497</v>
      </c>
      <c r="K24" s="58" t="s">
        <v>497</v>
      </c>
      <c r="L24" s="58" t="s">
        <v>497</v>
      </c>
      <c r="M24" s="58" t="s">
        <v>498</v>
      </c>
      <c r="N24" s="58" t="s">
        <v>497</v>
      </c>
      <c r="O24" s="58" t="s">
        <v>508</v>
      </c>
      <c r="P24" s="58" t="s">
        <v>497</v>
      </c>
      <c r="Q24" s="56"/>
      <c r="R24" s="67" t="s">
        <v>21</v>
      </c>
      <c r="S24" s="9"/>
      <c r="T24" s="9" t="s">
        <v>21</v>
      </c>
      <c r="U24" s="9" t="s">
        <v>21</v>
      </c>
      <c r="V24" s="9" t="s">
        <v>21</v>
      </c>
      <c r="W24" s="9" t="s">
        <v>21</v>
      </c>
      <c r="X24" s="9" t="s">
        <v>21</v>
      </c>
      <c r="Y24" s="9" t="s">
        <v>21</v>
      </c>
      <c r="Z24" s="9" t="s">
        <v>21</v>
      </c>
      <c r="AA24" s="9" t="s">
        <v>21</v>
      </c>
      <c r="AB24" s="9" t="s">
        <v>21</v>
      </c>
      <c r="AC24" s="9" t="s">
        <v>21</v>
      </c>
      <c r="AD24" s="9" t="s">
        <v>21</v>
      </c>
      <c r="AE24" s="9" t="s">
        <v>21</v>
      </c>
      <c r="AF24" s="9" t="s">
        <v>21</v>
      </c>
      <c r="AG24" s="9" t="s">
        <v>21</v>
      </c>
      <c r="AH24" s="9" t="s">
        <v>21</v>
      </c>
      <c r="AI24" s="9" t="s">
        <v>21</v>
      </c>
      <c r="AJ24" s="9" t="s">
        <v>21</v>
      </c>
      <c r="AK24" s="9" t="s">
        <v>21</v>
      </c>
      <c r="AL24" s="9" t="s">
        <v>21</v>
      </c>
      <c r="AM24" s="9" t="s">
        <v>21</v>
      </c>
      <c r="AN24" s="9" t="s">
        <v>21</v>
      </c>
      <c r="AO24" s="9" t="s">
        <v>21</v>
      </c>
      <c r="AP24" s="9" t="s">
        <v>21</v>
      </c>
      <c r="AQ24" s="9" t="s">
        <v>21</v>
      </c>
      <c r="AR24" s="9" t="s">
        <v>21</v>
      </c>
      <c r="AS24" s="9" t="s">
        <v>21</v>
      </c>
      <c r="AT24" s="9" t="s">
        <v>21</v>
      </c>
      <c r="AU24" s="9" t="s">
        <v>21</v>
      </c>
      <c r="AV24" s="9" t="s">
        <v>22</v>
      </c>
    </row>
    <row r="25" spans="2:18" ht="30.75" customHeight="1">
      <c r="B25" s="33" t="s">
        <v>246</v>
      </c>
      <c r="C25" s="42"/>
      <c r="D25" s="18">
        <f>SUM(D26:D30)</f>
        <v>157520</v>
      </c>
      <c r="E25" s="17">
        <f aca="true" t="shared" si="4" ref="E25:P25">SUM(E26:E30)</f>
        <v>69483</v>
      </c>
      <c r="F25" s="17">
        <f t="shared" si="4"/>
        <v>94747</v>
      </c>
      <c r="G25" s="475" t="s">
        <v>506</v>
      </c>
      <c r="H25" s="17">
        <f t="shared" si="4"/>
        <v>52012</v>
      </c>
      <c r="I25" s="17">
        <f t="shared" si="4"/>
        <v>77706</v>
      </c>
      <c r="J25" s="17">
        <f t="shared" si="4"/>
        <v>18879</v>
      </c>
      <c r="K25" s="17">
        <f t="shared" si="4"/>
        <v>23034</v>
      </c>
      <c r="L25" s="17">
        <f t="shared" si="4"/>
        <v>31342</v>
      </c>
      <c r="M25" s="17">
        <f t="shared" si="4"/>
        <v>9464</v>
      </c>
      <c r="N25" s="17">
        <f t="shared" si="4"/>
        <v>17190</v>
      </c>
      <c r="O25" s="17">
        <f t="shared" si="4"/>
        <v>9875</v>
      </c>
      <c r="P25" s="17">
        <f t="shared" si="4"/>
        <v>67219</v>
      </c>
      <c r="Q25" s="17">
        <f>SUM(D25:P25)</f>
        <v>628471</v>
      </c>
      <c r="R25" s="33"/>
    </row>
    <row r="26" spans="2:32" ht="30.75" customHeight="1">
      <c r="B26" s="33"/>
      <c r="C26" s="43" t="s">
        <v>27</v>
      </c>
      <c r="D26" s="19">
        <v>157520</v>
      </c>
      <c r="E26" s="15">
        <v>64562</v>
      </c>
      <c r="F26" s="15">
        <v>94747</v>
      </c>
      <c r="G26" s="474" t="s">
        <v>506</v>
      </c>
      <c r="H26" s="15">
        <v>52012</v>
      </c>
      <c r="I26" s="15">
        <v>59390</v>
      </c>
      <c r="J26" s="15">
        <v>18879</v>
      </c>
      <c r="K26" s="15">
        <v>11319</v>
      </c>
      <c r="L26" s="15">
        <v>31342</v>
      </c>
      <c r="M26" s="15">
        <v>9464</v>
      </c>
      <c r="N26" s="15">
        <v>7136</v>
      </c>
      <c r="O26" s="15">
        <v>9875</v>
      </c>
      <c r="P26" s="15">
        <v>58539</v>
      </c>
      <c r="Q26" s="15">
        <f>SUM(D26:P26)</f>
        <v>574785</v>
      </c>
      <c r="R26" s="33"/>
      <c r="X26" s="1">
        <v>8375</v>
      </c>
      <c r="Y26" s="1">
        <v>7007</v>
      </c>
      <c r="AB26" s="1">
        <v>7335</v>
      </c>
      <c r="AF26" s="1">
        <v>66648</v>
      </c>
    </row>
    <row r="27" spans="2:32" ht="30.75" customHeight="1">
      <c r="B27" s="33"/>
      <c r="C27" s="43" t="s">
        <v>236</v>
      </c>
      <c r="D27" s="20">
        <v>0</v>
      </c>
      <c r="E27" s="15">
        <v>4921</v>
      </c>
      <c r="F27" s="15">
        <v>0</v>
      </c>
      <c r="G27" s="474" t="s">
        <v>506</v>
      </c>
      <c r="H27" s="15">
        <v>0</v>
      </c>
      <c r="I27" s="15">
        <v>18316</v>
      </c>
      <c r="J27" s="15">
        <v>0</v>
      </c>
      <c r="K27" s="15">
        <v>11715</v>
      </c>
      <c r="L27" s="15">
        <v>0</v>
      </c>
      <c r="M27" s="15">
        <v>0</v>
      </c>
      <c r="N27" s="15">
        <v>10054</v>
      </c>
      <c r="O27" s="15"/>
      <c r="P27" s="15">
        <v>8680</v>
      </c>
      <c r="Q27" s="15">
        <f>SUM(D27:P27)</f>
        <v>53686</v>
      </c>
      <c r="R27" s="33"/>
      <c r="X27" s="1">
        <v>0</v>
      </c>
      <c r="Y27" s="1">
        <v>10471</v>
      </c>
      <c r="AB27" s="1">
        <v>11284</v>
      </c>
      <c r="AF27" s="1">
        <v>12062</v>
      </c>
    </row>
    <row r="28" spans="2:32" ht="30.75" customHeight="1">
      <c r="B28" s="33"/>
      <c r="C28" s="43" t="s">
        <v>28</v>
      </c>
      <c r="D28" s="21">
        <v>0</v>
      </c>
      <c r="E28" s="15">
        <v>0</v>
      </c>
      <c r="F28" s="15">
        <v>0</v>
      </c>
      <c r="G28" s="474" t="s">
        <v>506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/>
      <c r="R28" s="33"/>
      <c r="X28" s="1">
        <v>0</v>
      </c>
      <c r="Y28" s="1">
        <v>0</v>
      </c>
      <c r="AB28" s="1">
        <v>0</v>
      </c>
      <c r="AF28" s="1">
        <v>0</v>
      </c>
    </row>
    <row r="29" spans="2:32" ht="30.75" customHeight="1">
      <c r="B29" s="33"/>
      <c r="C29" s="43" t="s">
        <v>30</v>
      </c>
      <c r="D29" s="21">
        <v>0</v>
      </c>
      <c r="E29" s="15">
        <v>0</v>
      </c>
      <c r="F29" s="15">
        <v>0</v>
      </c>
      <c r="G29" s="474" t="s">
        <v>506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/>
      <c r="R29" s="33"/>
      <c r="X29" s="1">
        <v>0</v>
      </c>
      <c r="Y29" s="1">
        <v>0</v>
      </c>
      <c r="AB29" s="1">
        <v>0</v>
      </c>
      <c r="AF29" s="1">
        <v>0</v>
      </c>
    </row>
    <row r="30" spans="2:32" ht="30.75" customHeight="1">
      <c r="B30" s="41"/>
      <c r="C30" s="51" t="s">
        <v>279</v>
      </c>
      <c r="D30" s="22">
        <v>0</v>
      </c>
      <c r="E30" s="17">
        <v>0</v>
      </c>
      <c r="F30" s="17">
        <v>0</v>
      </c>
      <c r="G30" s="475" t="s">
        <v>506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/>
      <c r="R30" s="33"/>
      <c r="X30" s="1">
        <v>0</v>
      </c>
      <c r="Y30" s="1">
        <v>0</v>
      </c>
      <c r="AB30" s="1">
        <v>0</v>
      </c>
      <c r="AF30" s="1">
        <v>0</v>
      </c>
    </row>
    <row r="31" spans="2:32" ht="30.75" customHeight="1">
      <c r="B31" s="41" t="s">
        <v>245</v>
      </c>
      <c r="C31" s="52"/>
      <c r="D31" s="23">
        <v>394006</v>
      </c>
      <c r="E31" s="17">
        <v>130433</v>
      </c>
      <c r="F31" s="17">
        <v>148718</v>
      </c>
      <c r="G31" s="475" t="s">
        <v>506</v>
      </c>
      <c r="H31" s="17">
        <v>76205</v>
      </c>
      <c r="I31" s="17">
        <v>108623</v>
      </c>
      <c r="J31" s="17">
        <v>40294</v>
      </c>
      <c r="K31" s="17">
        <v>55872</v>
      </c>
      <c r="L31" s="17">
        <v>58904</v>
      </c>
      <c r="M31" s="17">
        <v>21292</v>
      </c>
      <c r="N31" s="17">
        <v>31706</v>
      </c>
      <c r="O31" s="17">
        <v>39512</v>
      </c>
      <c r="P31" s="17">
        <v>91618</v>
      </c>
      <c r="Q31" s="17">
        <f>SUM(D31:P31)</f>
        <v>1197183</v>
      </c>
      <c r="R31" s="33"/>
      <c r="X31" s="1">
        <v>25305</v>
      </c>
      <c r="Y31" s="1">
        <v>31283</v>
      </c>
      <c r="AB31" s="1">
        <v>44137</v>
      </c>
      <c r="AF31" s="1">
        <v>103164</v>
      </c>
    </row>
    <row r="32" spans="2:18" ht="30.75" customHeight="1">
      <c r="B32" s="41"/>
      <c r="C32" s="53" t="s">
        <v>40</v>
      </c>
      <c r="D32" s="23">
        <f>D25+D31</f>
        <v>551526</v>
      </c>
      <c r="E32" s="17">
        <f aca="true" t="shared" si="5" ref="E32:P32">E25+E31</f>
        <v>199916</v>
      </c>
      <c r="F32" s="17">
        <f t="shared" si="5"/>
        <v>243465</v>
      </c>
      <c r="G32" s="475" t="s">
        <v>506</v>
      </c>
      <c r="H32" s="17">
        <f t="shared" si="5"/>
        <v>128217</v>
      </c>
      <c r="I32" s="17">
        <f t="shared" si="5"/>
        <v>186329</v>
      </c>
      <c r="J32" s="17">
        <f t="shared" si="5"/>
        <v>59173</v>
      </c>
      <c r="K32" s="17">
        <f t="shared" si="5"/>
        <v>78906</v>
      </c>
      <c r="L32" s="17">
        <f t="shared" si="5"/>
        <v>90246</v>
      </c>
      <c r="M32" s="17">
        <f t="shared" si="5"/>
        <v>30756</v>
      </c>
      <c r="N32" s="17">
        <f t="shared" si="5"/>
        <v>48896</v>
      </c>
      <c r="O32" s="17">
        <f t="shared" si="5"/>
        <v>49387</v>
      </c>
      <c r="P32" s="17">
        <f t="shared" si="5"/>
        <v>158837</v>
      </c>
      <c r="Q32" s="17">
        <f>SUM(D32:P32)</f>
        <v>1825654</v>
      </c>
      <c r="R32" s="33"/>
    </row>
    <row r="33" spans="2:32" ht="30.75" customHeight="1">
      <c r="B33" s="33"/>
      <c r="C33" s="43" t="s">
        <v>41</v>
      </c>
      <c r="D33" s="27">
        <v>135</v>
      </c>
      <c r="E33" s="28">
        <v>42</v>
      </c>
      <c r="F33" s="28">
        <v>50</v>
      </c>
      <c r="G33" s="476" t="s">
        <v>506</v>
      </c>
      <c r="H33" s="28">
        <v>29.2</v>
      </c>
      <c r="I33" s="28">
        <v>15</v>
      </c>
      <c r="J33" s="28">
        <v>7.2</v>
      </c>
      <c r="K33" s="28">
        <v>6</v>
      </c>
      <c r="L33" s="28">
        <v>16</v>
      </c>
      <c r="M33" s="28">
        <v>3.2</v>
      </c>
      <c r="N33" s="28">
        <v>3</v>
      </c>
      <c r="O33" s="28">
        <v>6.8</v>
      </c>
      <c r="P33" s="28">
        <v>20</v>
      </c>
      <c r="Q33" s="29">
        <f>SUM(D33:P33)</f>
        <v>333.4</v>
      </c>
      <c r="R33" s="66">
        <v>0</v>
      </c>
      <c r="S33" s="11">
        <v>0</v>
      </c>
      <c r="T33" s="11">
        <v>0</v>
      </c>
      <c r="U33" s="11">
        <v>0</v>
      </c>
      <c r="V33" s="11">
        <v>0</v>
      </c>
      <c r="W33" s="1">
        <v>0</v>
      </c>
      <c r="X33" s="1">
        <v>3.2</v>
      </c>
      <c r="Y33" s="1">
        <v>4</v>
      </c>
      <c r="Z33" s="1">
        <v>0</v>
      </c>
      <c r="AA33" s="1">
        <v>0</v>
      </c>
      <c r="AB33" s="1">
        <v>5.6</v>
      </c>
      <c r="AC33" s="1">
        <v>0</v>
      </c>
      <c r="AD33" s="1">
        <v>0</v>
      </c>
      <c r="AE33" s="1">
        <v>0</v>
      </c>
      <c r="AF33" s="1">
        <v>19</v>
      </c>
    </row>
    <row r="34" spans="2:32" ht="30.75" customHeight="1">
      <c r="B34" s="36" t="s">
        <v>42</v>
      </c>
      <c r="C34" s="43" t="s">
        <v>43</v>
      </c>
      <c r="D34" s="30">
        <v>571</v>
      </c>
      <c r="E34" s="31">
        <v>268.3</v>
      </c>
      <c r="F34" s="31">
        <v>310</v>
      </c>
      <c r="G34" s="477" t="s">
        <v>506</v>
      </c>
      <c r="H34" s="31">
        <v>138</v>
      </c>
      <c r="I34" s="31">
        <v>208</v>
      </c>
      <c r="J34" s="31">
        <v>68.3</v>
      </c>
      <c r="K34" s="31">
        <v>82</v>
      </c>
      <c r="L34" s="31">
        <v>141</v>
      </c>
      <c r="M34" s="31">
        <v>24</v>
      </c>
      <c r="N34" s="31">
        <v>41.4</v>
      </c>
      <c r="O34" s="31">
        <v>37.1</v>
      </c>
      <c r="P34" s="31">
        <v>196.2</v>
      </c>
      <c r="Q34" s="29">
        <f aca="true" t="shared" si="6" ref="Q34:Q40">SUM(D34:P34)</f>
        <v>2085.2999999999997</v>
      </c>
      <c r="R34" s="66">
        <v>0</v>
      </c>
      <c r="S34" s="11">
        <v>0</v>
      </c>
      <c r="T34" s="11">
        <v>0</v>
      </c>
      <c r="U34" s="11">
        <v>0</v>
      </c>
      <c r="V34" s="11">
        <v>0</v>
      </c>
      <c r="W34" s="1">
        <v>0</v>
      </c>
      <c r="X34" s="1">
        <v>24</v>
      </c>
      <c r="Y34" s="1">
        <v>40.6</v>
      </c>
      <c r="Z34" s="1">
        <v>0</v>
      </c>
      <c r="AA34" s="1">
        <v>0</v>
      </c>
      <c r="AB34" s="1">
        <v>46.5</v>
      </c>
      <c r="AC34" s="1">
        <v>0</v>
      </c>
      <c r="AD34" s="1">
        <v>0</v>
      </c>
      <c r="AE34" s="1">
        <v>0</v>
      </c>
      <c r="AF34" s="1">
        <v>191.3</v>
      </c>
    </row>
    <row r="35" spans="2:32" ht="30.75" customHeight="1">
      <c r="B35" s="36" t="s">
        <v>44</v>
      </c>
      <c r="C35" s="43" t="s">
        <v>45</v>
      </c>
      <c r="D35" s="60">
        <v>24</v>
      </c>
      <c r="E35" s="31">
        <v>10</v>
      </c>
      <c r="F35" s="31">
        <v>9</v>
      </c>
      <c r="G35" s="477" t="s">
        <v>506</v>
      </c>
      <c r="H35" s="31">
        <v>7</v>
      </c>
      <c r="I35" s="31">
        <v>6</v>
      </c>
      <c r="J35" s="31">
        <v>3.7</v>
      </c>
      <c r="K35" s="31">
        <v>4</v>
      </c>
      <c r="L35" s="31">
        <v>7</v>
      </c>
      <c r="M35" s="31">
        <v>1</v>
      </c>
      <c r="N35" s="31">
        <v>2</v>
      </c>
      <c r="O35" s="31">
        <v>3</v>
      </c>
      <c r="P35" s="31">
        <v>6</v>
      </c>
      <c r="Q35" s="29">
        <f t="shared" si="6"/>
        <v>82.7</v>
      </c>
      <c r="R35" s="66">
        <v>0</v>
      </c>
      <c r="S35" s="11">
        <v>0</v>
      </c>
      <c r="T35" s="11">
        <v>0</v>
      </c>
      <c r="U35" s="11">
        <v>0</v>
      </c>
      <c r="V35" s="11">
        <v>0</v>
      </c>
      <c r="W35" s="1">
        <v>0</v>
      </c>
      <c r="X35" s="1">
        <v>1</v>
      </c>
      <c r="Y35" s="1">
        <v>2</v>
      </c>
      <c r="Z35" s="1">
        <v>0</v>
      </c>
      <c r="AA35" s="1">
        <v>0</v>
      </c>
      <c r="AB35" s="1">
        <v>3</v>
      </c>
      <c r="AC35" s="1">
        <v>0</v>
      </c>
      <c r="AD35" s="1">
        <v>0</v>
      </c>
      <c r="AE35" s="1">
        <v>0</v>
      </c>
      <c r="AF35" s="1">
        <v>6</v>
      </c>
    </row>
    <row r="36" spans="2:32" ht="30.75" customHeight="1">
      <c r="B36" s="36" t="s">
        <v>46</v>
      </c>
      <c r="C36" s="43" t="s">
        <v>47</v>
      </c>
      <c r="D36" s="60">
        <v>43.9</v>
      </c>
      <c r="E36" s="31">
        <v>53</v>
      </c>
      <c r="F36" s="31">
        <v>106</v>
      </c>
      <c r="G36" s="477" t="s">
        <v>506</v>
      </c>
      <c r="H36" s="31">
        <v>13</v>
      </c>
      <c r="I36" s="31">
        <v>29</v>
      </c>
      <c r="J36" s="31">
        <v>8.7</v>
      </c>
      <c r="K36" s="31">
        <v>17</v>
      </c>
      <c r="L36" s="31">
        <v>27</v>
      </c>
      <c r="M36" s="31">
        <v>5</v>
      </c>
      <c r="N36" s="31">
        <v>11</v>
      </c>
      <c r="O36" s="31">
        <v>11.6</v>
      </c>
      <c r="P36" s="31">
        <v>33.9</v>
      </c>
      <c r="Q36" s="29">
        <f t="shared" si="6"/>
        <v>359.1</v>
      </c>
      <c r="R36" s="66">
        <v>0</v>
      </c>
      <c r="S36" s="12">
        <v>0</v>
      </c>
      <c r="T36" s="12">
        <v>0</v>
      </c>
      <c r="U36" s="12">
        <v>0</v>
      </c>
      <c r="V36" s="1">
        <v>0</v>
      </c>
      <c r="W36" s="1">
        <v>0</v>
      </c>
      <c r="X36" s="1">
        <v>5</v>
      </c>
      <c r="Y36" s="1">
        <v>9.5</v>
      </c>
      <c r="Z36" s="1">
        <v>0</v>
      </c>
      <c r="AA36" s="1">
        <v>0</v>
      </c>
      <c r="AB36" s="1">
        <v>14.8</v>
      </c>
      <c r="AC36" s="1">
        <v>0</v>
      </c>
      <c r="AD36" s="1">
        <v>0</v>
      </c>
      <c r="AE36" s="1">
        <v>0</v>
      </c>
      <c r="AF36" s="1">
        <v>35.7</v>
      </c>
    </row>
    <row r="37" spans="2:32" ht="30.75" customHeight="1">
      <c r="B37" s="36" t="s">
        <v>48</v>
      </c>
      <c r="C37" s="43" t="s">
        <v>49</v>
      </c>
      <c r="D37" s="60">
        <v>4</v>
      </c>
      <c r="E37" s="31">
        <v>13</v>
      </c>
      <c r="F37" s="31">
        <v>26</v>
      </c>
      <c r="G37" s="477" t="s">
        <v>506</v>
      </c>
      <c r="H37" s="31">
        <v>1.5</v>
      </c>
      <c r="I37" s="31">
        <v>3</v>
      </c>
      <c r="J37" s="31">
        <v>1</v>
      </c>
      <c r="K37" s="31">
        <v>1</v>
      </c>
      <c r="L37" s="31">
        <v>2</v>
      </c>
      <c r="M37" s="31">
        <v>1</v>
      </c>
      <c r="N37" s="31">
        <v>1</v>
      </c>
      <c r="O37" s="31">
        <v>1</v>
      </c>
      <c r="P37" s="31">
        <v>2</v>
      </c>
      <c r="Q37" s="29">
        <f t="shared" si="6"/>
        <v>56.5</v>
      </c>
      <c r="R37" s="33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1</v>
      </c>
      <c r="Y37" s="1">
        <v>1</v>
      </c>
      <c r="Z37" s="1">
        <v>0</v>
      </c>
      <c r="AA37" s="1">
        <v>0</v>
      </c>
      <c r="AB37" s="1">
        <v>1</v>
      </c>
      <c r="AC37" s="1">
        <v>0</v>
      </c>
      <c r="AD37" s="1">
        <v>0</v>
      </c>
      <c r="AE37" s="1">
        <v>0</v>
      </c>
      <c r="AF37" s="1">
        <v>2</v>
      </c>
    </row>
    <row r="38" spans="2:32" ht="30.75" customHeight="1">
      <c r="B38" s="36" t="s">
        <v>50</v>
      </c>
      <c r="C38" s="43" t="s">
        <v>51</v>
      </c>
      <c r="D38" s="60">
        <v>59.6</v>
      </c>
      <c r="E38" s="31">
        <v>19</v>
      </c>
      <c r="F38" s="31">
        <v>15</v>
      </c>
      <c r="G38" s="477" t="s">
        <v>506</v>
      </c>
      <c r="H38" s="31">
        <v>7</v>
      </c>
      <c r="I38" s="31">
        <v>10</v>
      </c>
      <c r="J38" s="31">
        <v>3.2</v>
      </c>
      <c r="K38" s="31">
        <v>3</v>
      </c>
      <c r="L38" s="31">
        <v>7</v>
      </c>
      <c r="M38" s="31">
        <v>2</v>
      </c>
      <c r="N38" s="31">
        <v>2</v>
      </c>
      <c r="O38" s="31">
        <v>2</v>
      </c>
      <c r="P38" s="31">
        <v>6</v>
      </c>
      <c r="Q38" s="29">
        <f t="shared" si="6"/>
        <v>135.8</v>
      </c>
      <c r="R38" s="33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2</v>
      </c>
      <c r="Y38" s="1">
        <v>2</v>
      </c>
      <c r="Z38" s="1">
        <v>0</v>
      </c>
      <c r="AA38" s="1">
        <v>0</v>
      </c>
      <c r="AB38" s="1">
        <v>2</v>
      </c>
      <c r="AC38" s="1">
        <v>0</v>
      </c>
      <c r="AD38" s="1">
        <v>0</v>
      </c>
      <c r="AE38" s="1">
        <v>0</v>
      </c>
      <c r="AF38" s="1">
        <v>7</v>
      </c>
    </row>
    <row r="39" spans="2:32" ht="30.75" customHeight="1">
      <c r="B39" s="36" t="s">
        <v>31</v>
      </c>
      <c r="C39" s="43" t="s">
        <v>52</v>
      </c>
      <c r="D39" s="60">
        <v>40.8</v>
      </c>
      <c r="E39" s="31">
        <v>26</v>
      </c>
      <c r="F39" s="31">
        <v>19</v>
      </c>
      <c r="G39" s="477" t="s">
        <v>506</v>
      </c>
      <c r="H39" s="31">
        <v>9</v>
      </c>
      <c r="I39" s="31">
        <v>9</v>
      </c>
      <c r="J39" s="31">
        <v>2</v>
      </c>
      <c r="K39" s="31">
        <v>4</v>
      </c>
      <c r="L39" s="31">
        <v>14</v>
      </c>
      <c r="M39" s="31">
        <v>2</v>
      </c>
      <c r="N39" s="31">
        <v>2</v>
      </c>
      <c r="O39" s="31">
        <v>2</v>
      </c>
      <c r="P39" s="31">
        <v>11</v>
      </c>
      <c r="Q39" s="29">
        <f t="shared" si="6"/>
        <v>140.8</v>
      </c>
      <c r="R39" s="33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2</v>
      </c>
      <c r="Y39" s="1">
        <v>2</v>
      </c>
      <c r="Z39" s="1">
        <v>0</v>
      </c>
      <c r="AA39" s="1">
        <v>0</v>
      </c>
      <c r="AB39" s="1">
        <v>2</v>
      </c>
      <c r="AC39" s="1">
        <v>0</v>
      </c>
      <c r="AD39" s="1">
        <v>0</v>
      </c>
      <c r="AE39" s="1">
        <v>0</v>
      </c>
      <c r="AF39" s="1">
        <v>11</v>
      </c>
    </row>
    <row r="40" spans="2:32" ht="30.75" customHeight="1">
      <c r="B40" s="33"/>
      <c r="C40" s="43" t="s">
        <v>53</v>
      </c>
      <c r="D40" s="60">
        <v>52.3</v>
      </c>
      <c r="E40" s="31">
        <v>23.1</v>
      </c>
      <c r="F40" s="31">
        <v>38</v>
      </c>
      <c r="G40" s="477" t="s">
        <v>506</v>
      </c>
      <c r="H40" s="31">
        <v>31.3</v>
      </c>
      <c r="I40" s="31">
        <v>20</v>
      </c>
      <c r="J40" s="31">
        <v>6.4</v>
      </c>
      <c r="K40" s="31">
        <v>7</v>
      </c>
      <c r="L40" s="31">
        <v>20</v>
      </c>
      <c r="M40" s="31">
        <v>9.2</v>
      </c>
      <c r="N40" s="31">
        <v>4</v>
      </c>
      <c r="O40" s="31">
        <v>6</v>
      </c>
      <c r="P40" s="31">
        <v>24.4</v>
      </c>
      <c r="Q40" s="63">
        <f t="shared" si="6"/>
        <v>241.70000000000002</v>
      </c>
      <c r="R40" s="33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9.2</v>
      </c>
      <c r="Y40" s="1">
        <v>4</v>
      </c>
      <c r="Z40" s="1">
        <v>0</v>
      </c>
      <c r="AA40" s="1">
        <v>0</v>
      </c>
      <c r="AB40" s="1">
        <v>6</v>
      </c>
      <c r="AC40" s="1">
        <v>0</v>
      </c>
      <c r="AD40" s="1">
        <v>0</v>
      </c>
      <c r="AE40" s="1">
        <v>0</v>
      </c>
      <c r="AF40" s="1">
        <v>26</v>
      </c>
    </row>
    <row r="41" spans="2:18" ht="30.75" customHeight="1">
      <c r="B41" s="41"/>
      <c r="C41" s="46" t="s">
        <v>12</v>
      </c>
      <c r="D41" s="61">
        <f>SUM(D33:D40)</f>
        <v>930.5999999999999</v>
      </c>
      <c r="E41" s="62">
        <f aca="true" t="shared" si="7" ref="E41:P41">SUM(E33:E40)</f>
        <v>454.40000000000003</v>
      </c>
      <c r="F41" s="62">
        <f t="shared" si="7"/>
        <v>573</v>
      </c>
      <c r="G41" s="478" t="s">
        <v>506</v>
      </c>
      <c r="H41" s="62">
        <f t="shared" si="7"/>
        <v>236</v>
      </c>
      <c r="I41" s="62">
        <f t="shared" si="7"/>
        <v>300</v>
      </c>
      <c r="J41" s="62">
        <f t="shared" si="7"/>
        <v>100.50000000000001</v>
      </c>
      <c r="K41" s="62">
        <f t="shared" si="7"/>
        <v>124</v>
      </c>
      <c r="L41" s="62">
        <f t="shared" si="7"/>
        <v>234</v>
      </c>
      <c r="M41" s="62">
        <f t="shared" si="7"/>
        <v>47.400000000000006</v>
      </c>
      <c r="N41" s="62">
        <f t="shared" si="7"/>
        <v>66.4</v>
      </c>
      <c r="O41" s="62">
        <f t="shared" si="7"/>
        <v>69.5</v>
      </c>
      <c r="P41" s="62">
        <f t="shared" si="7"/>
        <v>299.49999999999994</v>
      </c>
      <c r="Q41" s="32">
        <f>SUM(D41:P41)</f>
        <v>3435.3</v>
      </c>
      <c r="R41" s="33"/>
    </row>
    <row r="42" spans="2:18" ht="30.75" customHeight="1" thickBot="1">
      <c r="B42" s="38" t="s">
        <v>54</v>
      </c>
      <c r="C42" s="39"/>
      <c r="D42" s="24">
        <v>0</v>
      </c>
      <c r="E42" s="25">
        <v>0</v>
      </c>
      <c r="F42" s="25">
        <v>0</v>
      </c>
      <c r="G42" s="479" t="s">
        <v>506</v>
      </c>
      <c r="H42" s="25">
        <v>0</v>
      </c>
      <c r="I42" s="25">
        <v>0</v>
      </c>
      <c r="J42" s="25">
        <v>0</v>
      </c>
      <c r="K42" s="25">
        <v>2</v>
      </c>
      <c r="L42" s="25">
        <v>0</v>
      </c>
      <c r="M42" s="25">
        <v>0</v>
      </c>
      <c r="N42" s="25">
        <v>0</v>
      </c>
      <c r="O42" s="25">
        <v>3</v>
      </c>
      <c r="P42" s="25">
        <v>0</v>
      </c>
      <c r="Q42" s="26">
        <f>SUM(D42:P42)</f>
        <v>5</v>
      </c>
      <c r="R42" s="33"/>
    </row>
    <row r="44" spans="4:17" ht="17.25">
      <c r="D44" s="399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400"/>
    </row>
    <row r="47" spans="18:19" ht="17.25">
      <c r="R47" s="68"/>
      <c r="S47" s="13"/>
    </row>
  </sheetData>
  <sheetProtection/>
  <mergeCells count="1">
    <mergeCell ref="G6:G7"/>
  </mergeCells>
  <printOptions/>
  <pageMargins left="0.7874015748031497" right="0.3937007874015748" top="0.7086614173228347" bottom="0.5905511811023623" header="0.5118110236220472" footer="0.3937007874015748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T52"/>
  <sheetViews>
    <sheetView showGridLines="0" showZeros="0" view="pageBreakPreview" zoomScale="55" zoomScaleNormal="65" zoomScaleSheetLayoutView="55" zoomScalePageLayoutView="0" workbookViewId="0" topLeftCell="A1">
      <pane xSplit="5" ySplit="8" topLeftCell="F9" activePane="bottomRight" state="frozen"/>
      <selection pane="topLeft" activeCell="D31" sqref="D31:P31"/>
      <selection pane="topRight" activeCell="D31" sqref="D31:P31"/>
      <selection pane="bottomLeft" activeCell="D31" sqref="D31:P31"/>
      <selection pane="bottomRight" activeCell="L44" sqref="L44"/>
    </sheetView>
  </sheetViews>
  <sheetFormatPr defaultColWidth="8.66015625" defaultRowHeight="18"/>
  <cols>
    <col min="1" max="1" width="1.66015625" style="70" customWidth="1"/>
    <col min="2" max="4" width="2.66015625" style="70" customWidth="1"/>
    <col min="5" max="5" width="20.66015625" style="70" customWidth="1"/>
    <col min="6" max="18" width="13.66015625" style="70" customWidth="1"/>
    <col min="19" max="19" width="14.66015625" style="70" customWidth="1"/>
    <col min="20" max="20" width="1.66015625" style="70" customWidth="1"/>
    <col min="21" max="21" width="2.66015625" style="70" customWidth="1"/>
    <col min="22" max="16384" width="8.66015625" style="70" customWidth="1"/>
  </cols>
  <sheetData>
    <row r="1" ht="22.5" customHeight="1">
      <c r="B1" s="116" t="s">
        <v>0</v>
      </c>
    </row>
    <row r="2" ht="22.5" customHeight="1"/>
    <row r="3" spans="2:19" ht="22.5" customHeight="1" thickBot="1">
      <c r="B3" s="71" t="s">
        <v>55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117" t="s">
        <v>56</v>
      </c>
    </row>
    <row r="4" spans="2:20" ht="22.5" customHeight="1">
      <c r="B4" s="72"/>
      <c r="F4" s="73"/>
      <c r="G4" s="74"/>
      <c r="H4" s="74"/>
      <c r="I4" s="35"/>
      <c r="J4" s="74"/>
      <c r="K4" s="74"/>
      <c r="L4" s="74"/>
      <c r="M4" s="74"/>
      <c r="N4" s="74"/>
      <c r="O4" s="74"/>
      <c r="P4" s="74"/>
      <c r="Q4" s="74"/>
      <c r="R4" s="74"/>
      <c r="S4" s="74"/>
      <c r="T4" s="72"/>
    </row>
    <row r="5" spans="2:20" ht="22.5" customHeight="1">
      <c r="B5" s="72"/>
      <c r="E5" s="70" t="s">
        <v>57</v>
      </c>
      <c r="F5" s="75" t="s">
        <v>3</v>
      </c>
      <c r="G5" s="76" t="s">
        <v>4</v>
      </c>
      <c r="H5" s="76" t="s">
        <v>5</v>
      </c>
      <c r="I5" s="37" t="s">
        <v>6</v>
      </c>
      <c r="J5" s="76" t="s">
        <v>7</v>
      </c>
      <c r="K5" s="76" t="s">
        <v>8</v>
      </c>
      <c r="L5" s="76" t="s">
        <v>9</v>
      </c>
      <c r="M5" s="76" t="s">
        <v>238</v>
      </c>
      <c r="N5" s="76" t="s">
        <v>239</v>
      </c>
      <c r="O5" s="76" t="s">
        <v>240</v>
      </c>
      <c r="P5" s="76" t="s">
        <v>10</v>
      </c>
      <c r="Q5" s="76" t="s">
        <v>241</v>
      </c>
      <c r="R5" s="76" t="s">
        <v>11</v>
      </c>
      <c r="S5" s="74"/>
      <c r="T5" s="72"/>
    </row>
    <row r="6" spans="2:20" ht="22.5" customHeight="1">
      <c r="B6" s="72"/>
      <c r="F6" s="73"/>
      <c r="G6" s="74"/>
      <c r="H6" s="74"/>
      <c r="I6" s="502" t="s">
        <v>504</v>
      </c>
      <c r="J6" s="74"/>
      <c r="K6" s="74"/>
      <c r="L6" s="74"/>
      <c r="M6" s="74"/>
      <c r="N6" s="74"/>
      <c r="O6" s="74"/>
      <c r="P6" s="74"/>
      <c r="Q6" s="74"/>
      <c r="R6" s="74"/>
      <c r="S6" s="76" t="s">
        <v>12</v>
      </c>
      <c r="T6" s="72"/>
    </row>
    <row r="7" spans="2:20" ht="22.5" customHeight="1">
      <c r="B7" s="72"/>
      <c r="C7" s="70" t="s">
        <v>58</v>
      </c>
      <c r="F7" s="73" t="s">
        <v>323</v>
      </c>
      <c r="G7" s="74" t="s">
        <v>323</v>
      </c>
      <c r="H7" s="74"/>
      <c r="I7" s="502"/>
      <c r="J7" s="74"/>
      <c r="K7" s="74"/>
      <c r="L7" s="74" t="s">
        <v>323</v>
      </c>
      <c r="M7" s="77" t="s">
        <v>324</v>
      </c>
      <c r="N7" s="74" t="s">
        <v>322</v>
      </c>
      <c r="O7" s="74" t="s">
        <v>325</v>
      </c>
      <c r="P7" s="74" t="s">
        <v>325</v>
      </c>
      <c r="Q7" s="74" t="s">
        <v>326</v>
      </c>
      <c r="R7" s="74"/>
      <c r="S7" s="74"/>
      <c r="T7" s="72"/>
    </row>
    <row r="8" spans="2:20" ht="22.5" customHeight="1" thickBot="1">
      <c r="B8" s="78"/>
      <c r="C8" s="71"/>
      <c r="D8" s="71"/>
      <c r="E8" s="71"/>
      <c r="F8" s="79" t="s">
        <v>338</v>
      </c>
      <c r="G8" s="80" t="s">
        <v>339</v>
      </c>
      <c r="H8" s="80" t="s">
        <v>340</v>
      </c>
      <c r="I8" s="433" t="s">
        <v>491</v>
      </c>
      <c r="J8" s="80" t="s">
        <v>341</v>
      </c>
      <c r="K8" s="80" t="s">
        <v>342</v>
      </c>
      <c r="L8" s="80" t="s">
        <v>343</v>
      </c>
      <c r="M8" s="80" t="s">
        <v>344</v>
      </c>
      <c r="N8" s="81" t="s">
        <v>337</v>
      </c>
      <c r="O8" s="80" t="s">
        <v>345</v>
      </c>
      <c r="P8" s="80" t="s">
        <v>346</v>
      </c>
      <c r="Q8" s="80" t="s">
        <v>347</v>
      </c>
      <c r="R8" s="80" t="s">
        <v>348</v>
      </c>
      <c r="S8" s="80"/>
      <c r="T8" s="72"/>
    </row>
    <row r="9" spans="2:20" ht="22.5" customHeight="1">
      <c r="B9" s="82" t="s">
        <v>284</v>
      </c>
      <c r="C9" s="83"/>
      <c r="D9" s="83"/>
      <c r="E9" s="83"/>
      <c r="F9" s="84">
        <f>F10+F16+F38</f>
        <v>17760109</v>
      </c>
      <c r="G9" s="85">
        <f aca="true" t="shared" si="0" ref="G9:R9">G10+G16+G38</f>
        <v>5665833</v>
      </c>
      <c r="H9" s="85">
        <f t="shared" si="0"/>
        <v>7835917</v>
      </c>
      <c r="I9" s="85">
        <f t="shared" si="0"/>
        <v>2401</v>
      </c>
      <c r="J9" s="85">
        <f t="shared" si="0"/>
        <v>4672005</v>
      </c>
      <c r="K9" s="85">
        <f t="shared" si="0"/>
        <v>4307846</v>
      </c>
      <c r="L9" s="85">
        <f t="shared" si="0"/>
        <v>1592587</v>
      </c>
      <c r="M9" s="85">
        <f t="shared" si="0"/>
        <v>1431278</v>
      </c>
      <c r="N9" s="85">
        <f t="shared" si="0"/>
        <v>3332660</v>
      </c>
      <c r="O9" s="85">
        <f t="shared" si="0"/>
        <v>498108</v>
      </c>
      <c r="P9" s="85">
        <f t="shared" si="0"/>
        <v>671530</v>
      </c>
      <c r="Q9" s="85">
        <f t="shared" si="0"/>
        <v>783749</v>
      </c>
      <c r="R9" s="85">
        <f t="shared" si="0"/>
        <v>4084513</v>
      </c>
      <c r="S9" s="86">
        <f aca="true" t="shared" si="1" ref="S9:S48">SUM(F9:R9)</f>
        <v>52638536</v>
      </c>
      <c r="T9" s="72"/>
    </row>
    <row r="10" spans="2:20" ht="22.5" customHeight="1">
      <c r="B10" s="72"/>
      <c r="C10" s="87" t="s">
        <v>285</v>
      </c>
      <c r="D10" s="88"/>
      <c r="E10" s="88"/>
      <c r="F10" s="89">
        <f>F11+F12+F13</f>
        <v>17130142</v>
      </c>
      <c r="G10" s="90">
        <f>G11+G12+G13</f>
        <v>4820857</v>
      </c>
      <c r="H10" s="90">
        <f aca="true" t="shared" si="2" ref="H10:R10">H11+H12+H13</f>
        <v>7251005</v>
      </c>
      <c r="I10" s="90">
        <f t="shared" si="2"/>
        <v>0</v>
      </c>
      <c r="J10" s="90">
        <f t="shared" si="2"/>
        <v>3567382</v>
      </c>
      <c r="K10" s="90">
        <f t="shared" si="2"/>
        <v>4136598</v>
      </c>
      <c r="L10" s="90">
        <f t="shared" si="2"/>
        <v>1355927</v>
      </c>
      <c r="M10" s="90">
        <f t="shared" si="2"/>
        <v>1020060</v>
      </c>
      <c r="N10" s="90">
        <f t="shared" si="2"/>
        <v>2374292</v>
      </c>
      <c r="O10" s="90">
        <f t="shared" si="2"/>
        <v>335667</v>
      </c>
      <c r="P10" s="90">
        <f t="shared" si="2"/>
        <v>599033</v>
      </c>
      <c r="Q10" s="90">
        <f t="shared" si="2"/>
        <v>599544</v>
      </c>
      <c r="R10" s="90">
        <f t="shared" si="2"/>
        <v>3258708</v>
      </c>
      <c r="S10" s="91">
        <f t="shared" si="1"/>
        <v>46449215</v>
      </c>
      <c r="T10" s="72"/>
    </row>
    <row r="11" spans="2:20" ht="22.5" customHeight="1">
      <c r="B11" s="72"/>
      <c r="D11" s="92" t="s">
        <v>286</v>
      </c>
      <c r="E11" s="88"/>
      <c r="F11" s="89">
        <v>10997789</v>
      </c>
      <c r="G11" s="90">
        <v>3027990</v>
      </c>
      <c r="H11" s="90">
        <v>4773341</v>
      </c>
      <c r="I11" s="90">
        <v>0</v>
      </c>
      <c r="J11" s="90">
        <v>2317977</v>
      </c>
      <c r="K11" s="90">
        <v>2468044</v>
      </c>
      <c r="L11" s="90">
        <v>649693</v>
      </c>
      <c r="M11" s="90">
        <v>552052</v>
      </c>
      <c r="N11" s="90">
        <v>1178621</v>
      </c>
      <c r="O11" s="90">
        <v>166529</v>
      </c>
      <c r="P11" s="90">
        <v>382808</v>
      </c>
      <c r="Q11" s="90">
        <v>231017</v>
      </c>
      <c r="R11" s="90">
        <v>2142153</v>
      </c>
      <c r="S11" s="91">
        <f t="shared" si="1"/>
        <v>28888014</v>
      </c>
      <c r="T11" s="72"/>
    </row>
    <row r="12" spans="2:20" ht="22.5" customHeight="1">
      <c r="B12" s="72"/>
      <c r="D12" s="92" t="s">
        <v>287</v>
      </c>
      <c r="E12" s="88"/>
      <c r="F12" s="89">
        <v>5691522</v>
      </c>
      <c r="G12" s="90">
        <v>1451748</v>
      </c>
      <c r="H12" s="90">
        <v>2283902</v>
      </c>
      <c r="I12" s="90">
        <v>0</v>
      </c>
      <c r="J12" s="90">
        <v>916328</v>
      </c>
      <c r="K12" s="90">
        <v>1463797</v>
      </c>
      <c r="L12" s="90">
        <v>611306</v>
      </c>
      <c r="M12" s="90">
        <v>396234</v>
      </c>
      <c r="N12" s="90">
        <v>866661</v>
      </c>
      <c r="O12" s="90">
        <v>132947</v>
      </c>
      <c r="P12" s="90">
        <v>150902</v>
      </c>
      <c r="Q12" s="90">
        <v>261206</v>
      </c>
      <c r="R12" s="90">
        <v>914830</v>
      </c>
      <c r="S12" s="91">
        <f t="shared" si="1"/>
        <v>15141383</v>
      </c>
      <c r="T12" s="72"/>
    </row>
    <row r="13" spans="2:20" ht="22.5" customHeight="1">
      <c r="B13" s="72"/>
      <c r="D13" s="87" t="s">
        <v>288</v>
      </c>
      <c r="E13" s="88"/>
      <c r="F13" s="89">
        <f>F14+F15</f>
        <v>440831</v>
      </c>
      <c r="G13" s="90">
        <f aca="true" t="shared" si="3" ref="G13:R13">G14+G15</f>
        <v>341119</v>
      </c>
      <c r="H13" s="90">
        <f t="shared" si="3"/>
        <v>193762</v>
      </c>
      <c r="I13" s="90">
        <f t="shared" si="3"/>
        <v>0</v>
      </c>
      <c r="J13" s="90">
        <f t="shared" si="3"/>
        <v>333077</v>
      </c>
      <c r="K13" s="90">
        <f t="shared" si="3"/>
        <v>204757</v>
      </c>
      <c r="L13" s="90">
        <f t="shared" si="3"/>
        <v>94928</v>
      </c>
      <c r="M13" s="90">
        <f t="shared" si="3"/>
        <v>71774</v>
      </c>
      <c r="N13" s="90">
        <f t="shared" si="3"/>
        <v>329010</v>
      </c>
      <c r="O13" s="90">
        <f t="shared" si="3"/>
        <v>36191</v>
      </c>
      <c r="P13" s="90">
        <f t="shared" si="3"/>
        <v>65323</v>
      </c>
      <c r="Q13" s="90">
        <f t="shared" si="3"/>
        <v>107321</v>
      </c>
      <c r="R13" s="90">
        <f t="shared" si="3"/>
        <v>201725</v>
      </c>
      <c r="S13" s="91">
        <f t="shared" si="1"/>
        <v>2419818</v>
      </c>
      <c r="T13" s="72"/>
    </row>
    <row r="14" spans="2:20" ht="22.5" customHeight="1">
      <c r="B14" s="72"/>
      <c r="E14" s="92" t="s">
        <v>289</v>
      </c>
      <c r="F14" s="89">
        <v>148964</v>
      </c>
      <c r="G14" s="90">
        <v>0</v>
      </c>
      <c r="H14" s="90">
        <v>76495</v>
      </c>
      <c r="I14" s="90">
        <v>0</v>
      </c>
      <c r="J14" s="90">
        <v>257408</v>
      </c>
      <c r="K14" s="90">
        <v>40084</v>
      </c>
      <c r="L14" s="90">
        <v>51597</v>
      </c>
      <c r="M14" s="90">
        <v>37991</v>
      </c>
      <c r="N14" s="90">
        <v>148452</v>
      </c>
      <c r="O14" s="90">
        <v>0</v>
      </c>
      <c r="P14" s="90">
        <v>3247</v>
      </c>
      <c r="Q14" s="90">
        <v>70000</v>
      </c>
      <c r="R14" s="90">
        <v>85506</v>
      </c>
      <c r="S14" s="91">
        <f t="shared" si="1"/>
        <v>919744</v>
      </c>
      <c r="T14" s="72"/>
    </row>
    <row r="15" spans="2:20" ht="22.5" customHeight="1">
      <c r="B15" s="72"/>
      <c r="C15" s="83"/>
      <c r="D15" s="83"/>
      <c r="E15" s="93" t="s">
        <v>290</v>
      </c>
      <c r="F15" s="94">
        <v>291867</v>
      </c>
      <c r="G15" s="95">
        <v>341119</v>
      </c>
      <c r="H15" s="95">
        <v>117267</v>
      </c>
      <c r="I15" s="95">
        <v>0</v>
      </c>
      <c r="J15" s="95">
        <v>75669</v>
      </c>
      <c r="K15" s="95">
        <v>164673</v>
      </c>
      <c r="L15" s="95">
        <v>43331</v>
      </c>
      <c r="M15" s="95">
        <v>33783</v>
      </c>
      <c r="N15" s="95">
        <v>180558</v>
      </c>
      <c r="O15" s="95">
        <v>36191</v>
      </c>
      <c r="P15" s="95">
        <v>62076</v>
      </c>
      <c r="Q15" s="95">
        <v>37321</v>
      </c>
      <c r="R15" s="95">
        <v>116219</v>
      </c>
      <c r="S15" s="86">
        <f t="shared" si="1"/>
        <v>1500074</v>
      </c>
      <c r="T15" s="72"/>
    </row>
    <row r="16" spans="2:20" ht="22.5" customHeight="1">
      <c r="B16" s="72"/>
      <c r="C16" s="87" t="s">
        <v>291</v>
      </c>
      <c r="D16" s="88"/>
      <c r="E16" s="88"/>
      <c r="F16" s="96">
        <f>F17+F18+F19+F20+F21+F22+F23</f>
        <v>629967</v>
      </c>
      <c r="G16" s="90">
        <f aca="true" t="shared" si="4" ref="G16:R16">G17+G18+G19+G20+G21+G22+G23</f>
        <v>844976</v>
      </c>
      <c r="H16" s="90">
        <f t="shared" si="4"/>
        <v>584912</v>
      </c>
      <c r="I16" s="90">
        <f t="shared" si="4"/>
        <v>2401</v>
      </c>
      <c r="J16" s="90">
        <f t="shared" si="4"/>
        <v>1006943</v>
      </c>
      <c r="K16" s="90">
        <f t="shared" si="4"/>
        <v>170992</v>
      </c>
      <c r="L16" s="90">
        <f t="shared" si="4"/>
        <v>236660</v>
      </c>
      <c r="M16" s="90">
        <f t="shared" si="4"/>
        <v>411135</v>
      </c>
      <c r="N16" s="90">
        <f t="shared" si="4"/>
        <v>949385</v>
      </c>
      <c r="O16" s="90">
        <f t="shared" si="4"/>
        <v>162441</v>
      </c>
      <c r="P16" s="90">
        <f t="shared" si="4"/>
        <v>72497</v>
      </c>
      <c r="Q16" s="90">
        <f t="shared" si="4"/>
        <v>184205</v>
      </c>
      <c r="R16" s="90">
        <f t="shared" si="4"/>
        <v>825805</v>
      </c>
      <c r="S16" s="91">
        <f t="shared" si="1"/>
        <v>6082319</v>
      </c>
      <c r="T16" s="72"/>
    </row>
    <row r="17" spans="2:20" ht="22.5" customHeight="1">
      <c r="B17" s="72"/>
      <c r="D17" s="88" t="s">
        <v>61</v>
      </c>
      <c r="E17" s="88"/>
      <c r="F17" s="418">
        <v>945</v>
      </c>
      <c r="G17" s="419">
        <v>0</v>
      </c>
      <c r="H17" s="419">
        <v>90</v>
      </c>
      <c r="I17" s="419">
        <v>0</v>
      </c>
      <c r="J17" s="419">
        <v>2</v>
      </c>
      <c r="K17" s="419"/>
      <c r="L17" s="419">
        <v>2217</v>
      </c>
      <c r="M17" s="419">
        <v>0</v>
      </c>
      <c r="N17" s="419">
        <v>0</v>
      </c>
      <c r="O17" s="419">
        <v>405</v>
      </c>
      <c r="P17" s="419">
        <v>255</v>
      </c>
      <c r="Q17" s="419">
        <v>1</v>
      </c>
      <c r="R17" s="419">
        <v>906</v>
      </c>
      <c r="S17" s="91">
        <f t="shared" si="1"/>
        <v>4821</v>
      </c>
      <c r="T17" s="72"/>
    </row>
    <row r="18" spans="2:20" ht="22.5" customHeight="1">
      <c r="B18" s="72"/>
      <c r="D18" s="88" t="s">
        <v>62</v>
      </c>
      <c r="E18" s="88"/>
      <c r="F18" s="418">
        <v>0</v>
      </c>
      <c r="G18" s="419">
        <v>0</v>
      </c>
      <c r="H18" s="419">
        <v>0</v>
      </c>
      <c r="I18" s="419">
        <v>0</v>
      </c>
      <c r="J18" s="419">
        <v>22053</v>
      </c>
      <c r="K18" s="419">
        <v>0</v>
      </c>
      <c r="L18" s="419">
        <v>0</v>
      </c>
      <c r="M18" s="419">
        <v>0</v>
      </c>
      <c r="N18" s="419">
        <v>0</v>
      </c>
      <c r="O18" s="419">
        <v>0</v>
      </c>
      <c r="P18" s="419">
        <v>0</v>
      </c>
      <c r="Q18" s="419">
        <v>0</v>
      </c>
      <c r="R18" s="419">
        <v>0</v>
      </c>
      <c r="S18" s="91">
        <f t="shared" si="1"/>
        <v>22053</v>
      </c>
      <c r="T18" s="72"/>
    </row>
    <row r="19" spans="2:20" ht="22.5" customHeight="1">
      <c r="B19" s="72"/>
      <c r="D19" s="88" t="s">
        <v>63</v>
      </c>
      <c r="E19" s="88"/>
      <c r="F19" s="418">
        <v>34082</v>
      </c>
      <c r="G19" s="419">
        <v>0</v>
      </c>
      <c r="H19" s="419">
        <v>0</v>
      </c>
      <c r="I19" s="419">
        <v>0</v>
      </c>
      <c r="J19" s="419">
        <v>7360</v>
      </c>
      <c r="K19" s="419">
        <v>246</v>
      </c>
      <c r="L19" s="419">
        <v>0</v>
      </c>
      <c r="M19" s="419">
        <v>0</v>
      </c>
      <c r="N19" s="419">
        <v>0</v>
      </c>
      <c r="O19" s="419">
        <v>0</v>
      </c>
      <c r="P19" s="419">
        <v>0</v>
      </c>
      <c r="Q19" s="419">
        <v>0</v>
      </c>
      <c r="R19" s="419">
        <v>0</v>
      </c>
      <c r="S19" s="91">
        <f t="shared" si="1"/>
        <v>41688</v>
      </c>
      <c r="T19" s="72"/>
    </row>
    <row r="20" spans="2:20" ht="22.5" customHeight="1">
      <c r="B20" s="72"/>
      <c r="D20" s="88" t="s">
        <v>64</v>
      </c>
      <c r="E20" s="88"/>
      <c r="F20" s="418">
        <v>12467</v>
      </c>
      <c r="G20" s="419">
        <v>3279</v>
      </c>
      <c r="H20" s="419">
        <v>10235</v>
      </c>
      <c r="I20" s="419">
        <v>0</v>
      </c>
      <c r="J20" s="419">
        <v>17056</v>
      </c>
      <c r="K20" s="419">
        <v>3275</v>
      </c>
      <c r="L20" s="419">
        <v>0</v>
      </c>
      <c r="M20" s="419">
        <v>0</v>
      </c>
      <c r="N20" s="419">
        <v>22822</v>
      </c>
      <c r="O20" s="419">
        <v>0</v>
      </c>
      <c r="P20" s="419">
        <v>0</v>
      </c>
      <c r="Q20" s="419">
        <v>0</v>
      </c>
      <c r="R20" s="419">
        <v>65333</v>
      </c>
      <c r="S20" s="91">
        <f t="shared" si="1"/>
        <v>134467</v>
      </c>
      <c r="T20" s="72"/>
    </row>
    <row r="21" spans="2:20" ht="22.5" customHeight="1">
      <c r="B21" s="72"/>
      <c r="D21" s="88" t="s">
        <v>65</v>
      </c>
      <c r="E21" s="88"/>
      <c r="F21" s="418">
        <v>429663</v>
      </c>
      <c r="G21" s="419">
        <v>299470</v>
      </c>
      <c r="H21" s="419">
        <v>301379</v>
      </c>
      <c r="I21" s="419">
        <v>0</v>
      </c>
      <c r="J21" s="419">
        <v>186641</v>
      </c>
      <c r="K21" s="419">
        <v>63960</v>
      </c>
      <c r="L21" s="419">
        <v>177397</v>
      </c>
      <c r="M21" s="419">
        <v>55781</v>
      </c>
      <c r="N21" s="419">
        <v>220741</v>
      </c>
      <c r="O21" s="419">
        <v>154587</v>
      </c>
      <c r="P21" s="419">
        <v>12380</v>
      </c>
      <c r="Q21" s="419">
        <v>50507</v>
      </c>
      <c r="R21" s="419">
        <v>170412</v>
      </c>
      <c r="S21" s="91">
        <f t="shared" si="1"/>
        <v>2122918</v>
      </c>
      <c r="T21" s="72"/>
    </row>
    <row r="22" spans="2:20" ht="22.5" customHeight="1">
      <c r="B22" s="72"/>
      <c r="D22" s="88" t="s">
        <v>66</v>
      </c>
      <c r="E22" s="88"/>
      <c r="F22" s="418">
        <v>46409</v>
      </c>
      <c r="G22" s="419">
        <v>504600</v>
      </c>
      <c r="H22" s="419">
        <v>171800</v>
      </c>
      <c r="I22" s="419">
        <v>0</v>
      </c>
      <c r="J22" s="419">
        <v>480512</v>
      </c>
      <c r="K22" s="419">
        <v>78698</v>
      </c>
      <c r="L22" s="419">
        <v>45779</v>
      </c>
      <c r="M22" s="419">
        <v>336936</v>
      </c>
      <c r="N22" s="419">
        <v>683129</v>
      </c>
      <c r="O22" s="419">
        <v>3169</v>
      </c>
      <c r="P22" s="419">
        <v>53780</v>
      </c>
      <c r="Q22" s="419">
        <v>127532</v>
      </c>
      <c r="R22" s="419">
        <v>33726</v>
      </c>
      <c r="S22" s="91">
        <f t="shared" si="1"/>
        <v>2566070</v>
      </c>
      <c r="T22" s="72"/>
    </row>
    <row r="23" spans="2:20" ht="22.5" customHeight="1">
      <c r="B23" s="97"/>
      <c r="C23" s="83"/>
      <c r="D23" s="83" t="s">
        <v>67</v>
      </c>
      <c r="E23" s="83"/>
      <c r="F23" s="420">
        <v>106401</v>
      </c>
      <c r="G23" s="421">
        <v>37627</v>
      </c>
      <c r="H23" s="421">
        <v>101408</v>
      </c>
      <c r="I23" s="421">
        <v>2401</v>
      </c>
      <c r="J23" s="421">
        <v>293319</v>
      </c>
      <c r="K23" s="421">
        <v>24813</v>
      </c>
      <c r="L23" s="421">
        <v>11267</v>
      </c>
      <c r="M23" s="421">
        <v>18418</v>
      </c>
      <c r="N23" s="421">
        <v>22693</v>
      </c>
      <c r="O23" s="421">
        <v>4280</v>
      </c>
      <c r="P23" s="421">
        <v>6082</v>
      </c>
      <c r="Q23" s="421">
        <v>6165</v>
      </c>
      <c r="R23" s="421">
        <v>555428</v>
      </c>
      <c r="S23" s="86">
        <f t="shared" si="1"/>
        <v>1190302</v>
      </c>
      <c r="T23" s="72"/>
    </row>
    <row r="24" spans="2:20" ht="22.5" customHeight="1">
      <c r="B24" s="82" t="s">
        <v>292</v>
      </c>
      <c r="C24" s="83"/>
      <c r="D24" s="83"/>
      <c r="E24" s="83"/>
      <c r="F24" s="94">
        <f>F25+F30+F42</f>
        <v>17447172</v>
      </c>
      <c r="G24" s="95">
        <f aca="true" t="shared" si="5" ref="G24:Q24">G25+G30+G42</f>
        <v>5650022</v>
      </c>
      <c r="H24" s="95">
        <f t="shared" si="5"/>
        <v>7634689</v>
      </c>
      <c r="I24" s="95">
        <f t="shared" si="5"/>
        <v>2401</v>
      </c>
      <c r="J24" s="95">
        <f t="shared" si="5"/>
        <v>4975016</v>
      </c>
      <c r="K24" s="95">
        <f t="shared" si="5"/>
        <v>4535549</v>
      </c>
      <c r="L24" s="95">
        <f t="shared" si="5"/>
        <v>1737405</v>
      </c>
      <c r="M24" s="95">
        <f t="shared" si="5"/>
        <v>1584675</v>
      </c>
      <c r="N24" s="95">
        <f t="shared" si="5"/>
        <v>3382007</v>
      </c>
      <c r="O24" s="95">
        <f t="shared" si="5"/>
        <v>492616</v>
      </c>
      <c r="P24" s="95">
        <f t="shared" si="5"/>
        <v>644928</v>
      </c>
      <c r="Q24" s="95">
        <f t="shared" si="5"/>
        <v>793256</v>
      </c>
      <c r="R24" s="95">
        <f>R25+R30+R42</f>
        <v>4202292</v>
      </c>
      <c r="S24" s="86">
        <f>SUM(F24:R24)</f>
        <v>53082028</v>
      </c>
      <c r="T24" s="72"/>
    </row>
    <row r="25" spans="2:20" ht="22.5" customHeight="1">
      <c r="B25" s="72"/>
      <c r="C25" s="87" t="s">
        <v>293</v>
      </c>
      <c r="D25" s="88"/>
      <c r="E25" s="88"/>
      <c r="F25" s="89">
        <f>F26+F27+F28+F29</f>
        <v>16808810</v>
      </c>
      <c r="G25" s="90">
        <f aca="true" t="shared" si="6" ref="G25:R25">G26+G27+G28+G29</f>
        <v>5494654</v>
      </c>
      <c r="H25" s="90">
        <f t="shared" si="6"/>
        <v>7217648</v>
      </c>
      <c r="I25" s="90">
        <f t="shared" si="6"/>
        <v>0</v>
      </c>
      <c r="J25" s="90">
        <f t="shared" si="6"/>
        <v>4248187</v>
      </c>
      <c r="K25" s="90">
        <f t="shared" si="6"/>
        <v>4315602</v>
      </c>
      <c r="L25" s="90">
        <f t="shared" si="6"/>
        <v>1667150</v>
      </c>
      <c r="M25" s="90">
        <f t="shared" si="6"/>
        <v>1538115</v>
      </c>
      <c r="N25" s="90">
        <f t="shared" si="6"/>
        <v>3251423</v>
      </c>
      <c r="O25" s="90">
        <f t="shared" si="6"/>
        <v>484087</v>
      </c>
      <c r="P25" s="90">
        <f t="shared" si="6"/>
        <v>617143</v>
      </c>
      <c r="Q25" s="90">
        <f t="shared" si="6"/>
        <v>777669</v>
      </c>
      <c r="R25" s="90">
        <f t="shared" si="6"/>
        <v>3563049</v>
      </c>
      <c r="S25" s="91">
        <f t="shared" si="1"/>
        <v>49983537</v>
      </c>
      <c r="T25" s="72"/>
    </row>
    <row r="26" spans="2:20" ht="22.5" customHeight="1">
      <c r="B26" s="72"/>
      <c r="D26" s="88" t="s">
        <v>68</v>
      </c>
      <c r="E26" s="88"/>
      <c r="F26" s="89">
        <v>7411289</v>
      </c>
      <c r="G26" s="90">
        <v>3334854</v>
      </c>
      <c r="H26" s="90">
        <v>3678291</v>
      </c>
      <c r="I26" s="90">
        <v>0</v>
      </c>
      <c r="J26" s="90">
        <v>2196751</v>
      </c>
      <c r="K26" s="90">
        <v>2319662</v>
      </c>
      <c r="L26" s="90">
        <v>849429</v>
      </c>
      <c r="M26" s="90">
        <v>919612</v>
      </c>
      <c r="N26" s="90">
        <v>1935365</v>
      </c>
      <c r="O26" s="90">
        <v>328507</v>
      </c>
      <c r="P26" s="90">
        <v>368284</v>
      </c>
      <c r="Q26" s="90">
        <v>435327</v>
      </c>
      <c r="R26" s="90">
        <v>2006857</v>
      </c>
      <c r="S26" s="91">
        <f t="shared" si="1"/>
        <v>25784228</v>
      </c>
      <c r="T26" s="72"/>
    </row>
    <row r="27" spans="2:20" ht="22.5" customHeight="1">
      <c r="B27" s="72"/>
      <c r="D27" s="88" t="s">
        <v>69</v>
      </c>
      <c r="E27" s="88"/>
      <c r="F27" s="89">
        <v>4934808</v>
      </c>
      <c r="G27" s="90">
        <v>1014168</v>
      </c>
      <c r="H27" s="90">
        <v>2009763</v>
      </c>
      <c r="I27" s="90">
        <v>0</v>
      </c>
      <c r="J27" s="90">
        <v>723846</v>
      </c>
      <c r="K27" s="90">
        <v>1020844</v>
      </c>
      <c r="L27" s="90">
        <v>337252</v>
      </c>
      <c r="M27" s="90">
        <v>207703</v>
      </c>
      <c r="N27" s="90">
        <v>545657</v>
      </c>
      <c r="O27" s="90">
        <v>62479</v>
      </c>
      <c r="P27" s="90">
        <v>71515</v>
      </c>
      <c r="Q27" s="90">
        <v>54127</v>
      </c>
      <c r="R27" s="90">
        <v>610645</v>
      </c>
      <c r="S27" s="91">
        <f t="shared" si="1"/>
        <v>11592807</v>
      </c>
      <c r="T27" s="72"/>
    </row>
    <row r="28" spans="2:20" ht="22.5" customHeight="1">
      <c r="B28" s="72"/>
      <c r="D28" s="88" t="s">
        <v>70</v>
      </c>
      <c r="E28" s="88"/>
      <c r="F28" s="89">
        <v>1186469</v>
      </c>
      <c r="G28" s="90">
        <v>219141</v>
      </c>
      <c r="H28" s="90">
        <v>448706</v>
      </c>
      <c r="I28" s="90">
        <v>0</v>
      </c>
      <c r="J28" s="90">
        <v>519332</v>
      </c>
      <c r="K28" s="90">
        <v>268884</v>
      </c>
      <c r="L28" s="90">
        <v>120558</v>
      </c>
      <c r="M28" s="90">
        <v>129034</v>
      </c>
      <c r="N28" s="90">
        <v>207621</v>
      </c>
      <c r="O28" s="90">
        <v>22743</v>
      </c>
      <c r="P28" s="90">
        <v>32463</v>
      </c>
      <c r="Q28" s="90">
        <v>39577</v>
      </c>
      <c r="R28" s="90">
        <v>196856</v>
      </c>
      <c r="S28" s="91">
        <f t="shared" si="1"/>
        <v>3391384</v>
      </c>
      <c r="T28" s="72"/>
    </row>
    <row r="29" spans="2:20" ht="22.5" customHeight="1">
      <c r="B29" s="72"/>
      <c r="C29" s="83"/>
      <c r="D29" s="83" t="s">
        <v>71</v>
      </c>
      <c r="E29" s="83"/>
      <c r="F29" s="94">
        <v>3276244</v>
      </c>
      <c r="G29" s="95">
        <v>926491</v>
      </c>
      <c r="H29" s="95">
        <v>1080888</v>
      </c>
      <c r="I29" s="95">
        <v>0</v>
      </c>
      <c r="J29" s="95">
        <v>808258</v>
      </c>
      <c r="K29" s="95">
        <v>706212</v>
      </c>
      <c r="L29" s="95">
        <v>359911</v>
      </c>
      <c r="M29" s="95">
        <v>281766</v>
      </c>
      <c r="N29" s="95">
        <v>562780</v>
      </c>
      <c r="O29" s="95">
        <v>70358</v>
      </c>
      <c r="P29" s="95">
        <v>144881</v>
      </c>
      <c r="Q29" s="95">
        <v>248638</v>
      </c>
      <c r="R29" s="95">
        <v>748691</v>
      </c>
      <c r="S29" s="86">
        <f t="shared" si="1"/>
        <v>9215118</v>
      </c>
      <c r="T29" s="72"/>
    </row>
    <row r="30" spans="2:20" ht="22.5" customHeight="1">
      <c r="B30" s="72"/>
      <c r="C30" s="87" t="s">
        <v>294</v>
      </c>
      <c r="D30" s="88"/>
      <c r="E30" s="88"/>
      <c r="F30" s="89">
        <f>F31+F32+F33+F34+F35</f>
        <v>588738</v>
      </c>
      <c r="G30" s="90">
        <f aca="true" t="shared" si="7" ref="G30:R30">G31+G32+G33+G34+G35</f>
        <v>154088</v>
      </c>
      <c r="H30" s="90">
        <f t="shared" si="7"/>
        <v>415130</v>
      </c>
      <c r="I30" s="90">
        <f t="shared" si="7"/>
        <v>2401</v>
      </c>
      <c r="J30" s="90">
        <f t="shared" si="7"/>
        <v>710359</v>
      </c>
      <c r="K30" s="90">
        <f t="shared" si="7"/>
        <v>217935</v>
      </c>
      <c r="L30" s="90">
        <f t="shared" si="7"/>
        <v>65380</v>
      </c>
      <c r="M30" s="90">
        <f t="shared" si="7"/>
        <v>28885</v>
      </c>
      <c r="N30" s="90">
        <f t="shared" si="7"/>
        <v>127959</v>
      </c>
      <c r="O30" s="90">
        <f t="shared" si="7"/>
        <v>8529</v>
      </c>
      <c r="P30" s="90">
        <f t="shared" si="7"/>
        <v>27785</v>
      </c>
      <c r="Q30" s="90">
        <f t="shared" si="7"/>
        <v>15587</v>
      </c>
      <c r="R30" s="90">
        <f t="shared" si="7"/>
        <v>639243</v>
      </c>
      <c r="S30" s="91">
        <f t="shared" si="1"/>
        <v>3002019</v>
      </c>
      <c r="T30" s="72"/>
    </row>
    <row r="31" spans="2:20" ht="22.5" customHeight="1">
      <c r="B31" s="72"/>
      <c r="D31" s="88" t="s">
        <v>72</v>
      </c>
      <c r="E31" s="88"/>
      <c r="F31" s="89">
        <v>89849</v>
      </c>
      <c r="G31" s="90">
        <v>13680</v>
      </c>
      <c r="H31" s="90">
        <v>250219</v>
      </c>
      <c r="I31" s="90">
        <v>2401</v>
      </c>
      <c r="J31" s="90">
        <v>232477</v>
      </c>
      <c r="K31" s="90">
        <v>105053</v>
      </c>
      <c r="L31" s="90">
        <v>28791</v>
      </c>
      <c r="M31" s="90">
        <v>28872</v>
      </c>
      <c r="N31" s="90">
        <v>36129</v>
      </c>
      <c r="O31" s="90">
        <v>3169</v>
      </c>
      <c r="P31" s="90">
        <v>14403</v>
      </c>
      <c r="Q31" s="90">
        <v>4896</v>
      </c>
      <c r="R31" s="90">
        <v>51062</v>
      </c>
      <c r="S31" s="91">
        <f t="shared" si="1"/>
        <v>861001</v>
      </c>
      <c r="T31" s="72"/>
    </row>
    <row r="32" spans="2:20" ht="22.5" customHeight="1">
      <c r="B32" s="72"/>
      <c r="D32" s="88" t="s">
        <v>73</v>
      </c>
      <c r="E32" s="88"/>
      <c r="F32" s="89">
        <v>0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1">
        <f t="shared" si="1"/>
        <v>0</v>
      </c>
      <c r="T32" s="72"/>
    </row>
    <row r="33" spans="2:20" ht="22.5" customHeight="1">
      <c r="B33" s="72"/>
      <c r="D33" s="88" t="s">
        <v>74</v>
      </c>
      <c r="E33" s="88"/>
      <c r="F33" s="89">
        <v>0</v>
      </c>
      <c r="G33" s="90">
        <v>0</v>
      </c>
      <c r="H33" s="90">
        <v>0</v>
      </c>
      <c r="I33" s="90">
        <v>0</v>
      </c>
      <c r="J33" s="90">
        <v>125021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1">
        <f t="shared" si="1"/>
        <v>125021</v>
      </c>
      <c r="T33" s="72"/>
    </row>
    <row r="34" spans="2:20" ht="22.5" customHeight="1">
      <c r="B34" s="72"/>
      <c r="D34" s="88" t="s">
        <v>75</v>
      </c>
      <c r="E34" s="88"/>
      <c r="F34" s="89">
        <v>131715</v>
      </c>
      <c r="G34" s="90"/>
      <c r="H34" s="90"/>
      <c r="I34" s="90">
        <v>0</v>
      </c>
      <c r="J34" s="90">
        <v>0</v>
      </c>
      <c r="K34" s="90">
        <v>6713</v>
      </c>
      <c r="L34" s="90">
        <v>2131</v>
      </c>
      <c r="M34" s="90">
        <v>0</v>
      </c>
      <c r="N34" s="90">
        <v>0</v>
      </c>
      <c r="O34" s="90">
        <v>0</v>
      </c>
      <c r="P34" s="90">
        <v>2519</v>
      </c>
      <c r="Q34" s="90">
        <v>0</v>
      </c>
      <c r="R34" s="90">
        <v>10114</v>
      </c>
      <c r="S34" s="91">
        <f t="shared" si="1"/>
        <v>153192</v>
      </c>
      <c r="T34" s="72"/>
    </row>
    <row r="35" spans="2:20" ht="22.5" customHeight="1">
      <c r="B35" s="97"/>
      <c r="C35" s="83"/>
      <c r="D35" s="83" t="s">
        <v>76</v>
      </c>
      <c r="E35" s="83"/>
      <c r="F35" s="94">
        <v>367174</v>
      </c>
      <c r="G35" s="95">
        <v>140408</v>
      </c>
      <c r="H35" s="95">
        <v>164911</v>
      </c>
      <c r="I35" s="95">
        <v>0</v>
      </c>
      <c r="J35" s="95">
        <v>352861</v>
      </c>
      <c r="K35" s="95">
        <v>106169</v>
      </c>
      <c r="L35" s="95">
        <v>34458</v>
      </c>
      <c r="M35" s="95">
        <v>13</v>
      </c>
      <c r="N35" s="95">
        <v>91830</v>
      </c>
      <c r="O35" s="95">
        <v>5360</v>
      </c>
      <c r="P35" s="95">
        <v>10863</v>
      </c>
      <c r="Q35" s="95">
        <v>10691</v>
      </c>
      <c r="R35" s="95">
        <v>578067</v>
      </c>
      <c r="S35" s="86">
        <f t="shared" si="1"/>
        <v>1862805</v>
      </c>
      <c r="T35" s="72"/>
    </row>
    <row r="36" spans="2:20" ht="22.5" customHeight="1">
      <c r="B36" s="97" t="s">
        <v>77</v>
      </c>
      <c r="C36" s="83"/>
      <c r="D36" s="83"/>
      <c r="E36" s="83"/>
      <c r="F36" s="94">
        <f>IF(((F10+F16)-(F25+F30))&gt;0,(F10+F16)-(F25+F30),0)</f>
        <v>362561</v>
      </c>
      <c r="G36" s="95">
        <f aca="true" t="shared" si="8" ref="G36:R36">IF(((G10+G16)-(G25+G30))&gt;0,(G10+G16)-(G25+G30),0)</f>
        <v>17091</v>
      </c>
      <c r="H36" s="95">
        <f t="shared" si="8"/>
        <v>203139</v>
      </c>
      <c r="I36" s="95">
        <f t="shared" si="8"/>
        <v>0</v>
      </c>
      <c r="J36" s="95">
        <f t="shared" si="8"/>
        <v>0</v>
      </c>
      <c r="K36" s="95">
        <f t="shared" si="8"/>
        <v>0</v>
      </c>
      <c r="L36" s="95">
        <f t="shared" si="8"/>
        <v>0</v>
      </c>
      <c r="M36" s="95">
        <f t="shared" si="8"/>
        <v>0</v>
      </c>
      <c r="N36" s="95">
        <f t="shared" si="8"/>
        <v>0</v>
      </c>
      <c r="O36" s="95">
        <f t="shared" si="8"/>
        <v>5492</v>
      </c>
      <c r="P36" s="95">
        <f t="shared" si="8"/>
        <v>26602</v>
      </c>
      <c r="Q36" s="95">
        <f t="shared" si="8"/>
        <v>0</v>
      </c>
      <c r="R36" s="95">
        <f t="shared" si="8"/>
        <v>0</v>
      </c>
      <c r="S36" s="86">
        <f t="shared" si="1"/>
        <v>614885</v>
      </c>
      <c r="T36" s="72"/>
    </row>
    <row r="37" spans="2:20" ht="22.5" customHeight="1">
      <c r="B37" s="97" t="s">
        <v>78</v>
      </c>
      <c r="C37" s="83"/>
      <c r="D37" s="83"/>
      <c r="E37" s="83"/>
      <c r="F37" s="94">
        <f>IF(((F10+F16)-(F25+F30))&lt;0,-((F10+F16)-(F25+F30)),0)</f>
        <v>0</v>
      </c>
      <c r="G37" s="95">
        <f aca="true" t="shared" si="9" ref="G37:R37">IF(((G10+G16)-(G25+G30))&lt;0,-((G10+G16)-(G25+G30)),0)</f>
        <v>0</v>
      </c>
      <c r="H37" s="95">
        <f t="shared" si="9"/>
        <v>0</v>
      </c>
      <c r="I37" s="95">
        <f t="shared" si="9"/>
        <v>0</v>
      </c>
      <c r="J37" s="95">
        <f t="shared" si="9"/>
        <v>384221</v>
      </c>
      <c r="K37" s="95">
        <f t="shared" si="9"/>
        <v>225947</v>
      </c>
      <c r="L37" s="95">
        <f t="shared" si="9"/>
        <v>139943</v>
      </c>
      <c r="M37" s="95">
        <f t="shared" si="9"/>
        <v>135805</v>
      </c>
      <c r="N37" s="95">
        <f t="shared" si="9"/>
        <v>55705</v>
      </c>
      <c r="O37" s="95">
        <f t="shared" si="9"/>
        <v>0</v>
      </c>
      <c r="P37" s="95">
        <f t="shared" si="9"/>
        <v>0</v>
      </c>
      <c r="Q37" s="95">
        <f t="shared" si="9"/>
        <v>9507</v>
      </c>
      <c r="R37" s="95">
        <f t="shared" si="9"/>
        <v>117779</v>
      </c>
      <c r="S37" s="86">
        <f t="shared" si="1"/>
        <v>1068907</v>
      </c>
      <c r="T37" s="72"/>
    </row>
    <row r="38" spans="2:20" ht="22.5" customHeight="1">
      <c r="B38" s="72" t="s">
        <v>79</v>
      </c>
      <c r="C38" s="83"/>
      <c r="D38" s="83"/>
      <c r="E38" s="83"/>
      <c r="F38" s="94">
        <f>F39+F40+F41</f>
        <v>0</v>
      </c>
      <c r="G38" s="95">
        <f aca="true" t="shared" si="10" ref="G38:R38">G39+G40+G41</f>
        <v>0</v>
      </c>
      <c r="H38" s="95">
        <f t="shared" si="10"/>
        <v>0</v>
      </c>
      <c r="I38" s="95">
        <f t="shared" si="10"/>
        <v>0</v>
      </c>
      <c r="J38" s="95">
        <f t="shared" si="10"/>
        <v>97680</v>
      </c>
      <c r="K38" s="95">
        <f t="shared" si="10"/>
        <v>256</v>
      </c>
      <c r="L38" s="95">
        <f t="shared" si="10"/>
        <v>0</v>
      </c>
      <c r="M38" s="95">
        <f t="shared" si="10"/>
        <v>83</v>
      </c>
      <c r="N38" s="95">
        <f t="shared" si="10"/>
        <v>8983</v>
      </c>
      <c r="O38" s="95">
        <f t="shared" si="10"/>
        <v>0</v>
      </c>
      <c r="P38" s="95">
        <f t="shared" si="10"/>
        <v>0</v>
      </c>
      <c r="Q38" s="95">
        <f t="shared" si="10"/>
        <v>0</v>
      </c>
      <c r="R38" s="95">
        <f t="shared" si="10"/>
        <v>0</v>
      </c>
      <c r="S38" s="86">
        <f t="shared" si="1"/>
        <v>107002</v>
      </c>
      <c r="T38" s="72"/>
    </row>
    <row r="39" spans="2:20" ht="22.5" customHeight="1">
      <c r="B39" s="72"/>
      <c r="C39" s="83" t="s">
        <v>80</v>
      </c>
      <c r="D39" s="83"/>
      <c r="E39" s="83"/>
      <c r="F39" s="94">
        <v>0</v>
      </c>
      <c r="G39" s="95">
        <v>0</v>
      </c>
      <c r="H39" s="95">
        <v>0</v>
      </c>
      <c r="I39" s="95">
        <v>0</v>
      </c>
      <c r="J39" s="95">
        <v>96302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86">
        <f t="shared" si="1"/>
        <v>96302</v>
      </c>
      <c r="T39" s="72"/>
    </row>
    <row r="40" spans="2:20" ht="22.5" customHeight="1">
      <c r="B40" s="72"/>
      <c r="C40" s="83" t="s">
        <v>81</v>
      </c>
      <c r="D40" s="83"/>
      <c r="E40" s="83"/>
      <c r="F40" s="94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86">
        <f t="shared" si="1"/>
        <v>0</v>
      </c>
      <c r="T40" s="72"/>
    </row>
    <row r="41" spans="2:20" ht="22.5" customHeight="1">
      <c r="B41" s="97"/>
      <c r="C41" s="83" t="s">
        <v>82</v>
      </c>
      <c r="D41" s="83"/>
      <c r="E41" s="83"/>
      <c r="F41" s="94"/>
      <c r="G41" s="95">
        <v>0</v>
      </c>
      <c r="H41" s="95">
        <v>0</v>
      </c>
      <c r="I41" s="95">
        <v>0</v>
      </c>
      <c r="J41" s="95">
        <v>1378</v>
      </c>
      <c r="K41" s="95">
        <v>256</v>
      </c>
      <c r="L41" s="95"/>
      <c r="M41" s="95">
        <v>83</v>
      </c>
      <c r="N41" s="95">
        <v>8983</v>
      </c>
      <c r="O41" s="95"/>
      <c r="P41" s="95">
        <v>0</v>
      </c>
      <c r="Q41" s="95">
        <v>0</v>
      </c>
      <c r="R41" s="95">
        <v>0</v>
      </c>
      <c r="S41" s="86">
        <f t="shared" si="1"/>
        <v>10700</v>
      </c>
      <c r="T41" s="72"/>
    </row>
    <row r="42" spans="2:20" ht="22.5" customHeight="1">
      <c r="B42" s="82" t="s">
        <v>295</v>
      </c>
      <c r="C42" s="83"/>
      <c r="D42" s="83"/>
      <c r="E42" s="83"/>
      <c r="F42" s="94">
        <f>F43+F44</f>
        <v>49624</v>
      </c>
      <c r="G42" s="95">
        <f aca="true" t="shared" si="11" ref="G42:R42">G43+G44</f>
        <v>1280</v>
      </c>
      <c r="H42" s="95">
        <f t="shared" si="11"/>
        <v>1911</v>
      </c>
      <c r="I42" s="95">
        <f t="shared" si="11"/>
        <v>0</v>
      </c>
      <c r="J42" s="95">
        <f t="shared" si="11"/>
        <v>16470</v>
      </c>
      <c r="K42" s="95">
        <f t="shared" si="11"/>
        <v>2012</v>
      </c>
      <c r="L42" s="95">
        <f t="shared" si="11"/>
        <v>4875</v>
      </c>
      <c r="M42" s="95">
        <f t="shared" si="11"/>
        <v>17675</v>
      </c>
      <c r="N42" s="95">
        <f t="shared" si="11"/>
        <v>2625</v>
      </c>
      <c r="O42" s="95">
        <f t="shared" si="11"/>
        <v>0</v>
      </c>
      <c r="P42" s="95">
        <f t="shared" si="11"/>
        <v>0</v>
      </c>
      <c r="Q42" s="95">
        <f t="shared" si="11"/>
        <v>0</v>
      </c>
      <c r="R42" s="95">
        <f t="shared" si="11"/>
        <v>0</v>
      </c>
      <c r="S42" s="86">
        <f t="shared" si="1"/>
        <v>96472</v>
      </c>
      <c r="T42" s="72"/>
    </row>
    <row r="43" spans="2:20" ht="22.5" customHeight="1">
      <c r="B43" s="72"/>
      <c r="C43" s="83" t="s">
        <v>83</v>
      </c>
      <c r="D43" s="83"/>
      <c r="E43" s="83"/>
      <c r="F43" s="94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86">
        <f t="shared" si="1"/>
        <v>0</v>
      </c>
      <c r="T43" s="72"/>
    </row>
    <row r="44" spans="2:20" ht="22.5" customHeight="1">
      <c r="B44" s="97"/>
      <c r="C44" s="83" t="s">
        <v>84</v>
      </c>
      <c r="D44" s="83"/>
      <c r="E44" s="83"/>
      <c r="F44" s="94">
        <v>49624</v>
      </c>
      <c r="G44" s="95">
        <v>1280</v>
      </c>
      <c r="H44" s="95">
        <v>1911</v>
      </c>
      <c r="I44" s="95">
        <v>0</v>
      </c>
      <c r="J44" s="95">
        <v>16470</v>
      </c>
      <c r="K44" s="95">
        <v>2012</v>
      </c>
      <c r="L44" s="95">
        <v>4875</v>
      </c>
      <c r="M44" s="95">
        <v>17675</v>
      </c>
      <c r="N44" s="95">
        <v>2625</v>
      </c>
      <c r="O44" s="95">
        <v>0</v>
      </c>
      <c r="P44" s="95">
        <v>0</v>
      </c>
      <c r="Q44" s="95">
        <v>0</v>
      </c>
      <c r="R44" s="95">
        <v>0</v>
      </c>
      <c r="S44" s="86">
        <f t="shared" si="1"/>
        <v>96472</v>
      </c>
      <c r="T44" s="72"/>
    </row>
    <row r="45" spans="2:20" ht="22.5" customHeight="1">
      <c r="B45" s="97" t="s">
        <v>85</v>
      </c>
      <c r="C45" s="83"/>
      <c r="D45" s="83"/>
      <c r="E45" s="83"/>
      <c r="F45" s="94">
        <f>IF((F9-F24)&gt;0,F9-F24,0)</f>
        <v>312937</v>
      </c>
      <c r="G45" s="95">
        <f aca="true" t="shared" si="12" ref="G45:R45">IF((G9-G24)&gt;0,G9-G24,0)</f>
        <v>15811</v>
      </c>
      <c r="H45" s="95">
        <f t="shared" si="12"/>
        <v>201228</v>
      </c>
      <c r="I45" s="95">
        <f t="shared" si="12"/>
        <v>0</v>
      </c>
      <c r="J45" s="95">
        <f t="shared" si="12"/>
        <v>0</v>
      </c>
      <c r="K45" s="95">
        <f t="shared" si="12"/>
        <v>0</v>
      </c>
      <c r="L45" s="95">
        <f t="shared" si="12"/>
        <v>0</v>
      </c>
      <c r="M45" s="95">
        <f t="shared" si="12"/>
        <v>0</v>
      </c>
      <c r="N45" s="95">
        <f t="shared" si="12"/>
        <v>0</v>
      </c>
      <c r="O45" s="95">
        <f t="shared" si="12"/>
        <v>5492</v>
      </c>
      <c r="P45" s="95">
        <f t="shared" si="12"/>
        <v>26602</v>
      </c>
      <c r="Q45" s="95">
        <f t="shared" si="12"/>
        <v>0</v>
      </c>
      <c r="R45" s="95">
        <f t="shared" si="12"/>
        <v>0</v>
      </c>
      <c r="S45" s="86">
        <f t="shared" si="1"/>
        <v>562070</v>
      </c>
      <c r="T45" s="72"/>
    </row>
    <row r="46" spans="2:20" ht="22.5" customHeight="1">
      <c r="B46" s="97" t="s">
        <v>86</v>
      </c>
      <c r="C46" s="83"/>
      <c r="D46" s="83"/>
      <c r="E46" s="83"/>
      <c r="F46" s="94">
        <f>IF((F9-F24)&lt;0,-(F9-F24),0)</f>
        <v>0</v>
      </c>
      <c r="G46" s="95">
        <f aca="true" t="shared" si="13" ref="G46:R46">IF((G9-G24)&lt;0,-(G9-G24),0)</f>
        <v>0</v>
      </c>
      <c r="H46" s="95">
        <f t="shared" si="13"/>
        <v>0</v>
      </c>
      <c r="I46" s="95">
        <f t="shared" si="13"/>
        <v>0</v>
      </c>
      <c r="J46" s="95">
        <f t="shared" si="13"/>
        <v>303011</v>
      </c>
      <c r="K46" s="95">
        <f t="shared" si="13"/>
        <v>227703</v>
      </c>
      <c r="L46" s="95">
        <f t="shared" si="13"/>
        <v>144818</v>
      </c>
      <c r="M46" s="95">
        <f t="shared" si="13"/>
        <v>153397</v>
      </c>
      <c r="N46" s="95">
        <f t="shared" si="13"/>
        <v>49347</v>
      </c>
      <c r="O46" s="95">
        <f t="shared" si="13"/>
        <v>0</v>
      </c>
      <c r="P46" s="95">
        <f t="shared" si="13"/>
        <v>0</v>
      </c>
      <c r="Q46" s="95">
        <f t="shared" si="13"/>
        <v>9507</v>
      </c>
      <c r="R46" s="95">
        <f t="shared" si="13"/>
        <v>117779</v>
      </c>
      <c r="S46" s="86">
        <f t="shared" si="1"/>
        <v>1005562</v>
      </c>
      <c r="T46" s="72"/>
    </row>
    <row r="47" spans="2:20" ht="19.5" customHeight="1">
      <c r="B47" s="102" t="s">
        <v>87</v>
      </c>
      <c r="C47" s="103"/>
      <c r="D47" s="103"/>
      <c r="E47" s="103"/>
      <c r="F47" s="98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100"/>
      <c r="T47" s="72"/>
    </row>
    <row r="48" spans="2:20" ht="19.5" customHeight="1">
      <c r="B48" s="105" t="s">
        <v>297</v>
      </c>
      <c r="C48" s="106"/>
      <c r="D48" s="106"/>
      <c r="E48" s="106"/>
      <c r="F48" s="107">
        <v>-2280443</v>
      </c>
      <c r="G48" s="108">
        <v>-3662813</v>
      </c>
      <c r="H48" s="108">
        <v>-7492513</v>
      </c>
      <c r="I48" s="108">
        <v>0</v>
      </c>
      <c r="J48" s="108">
        <v>-9290178</v>
      </c>
      <c r="K48" s="108">
        <v>-4248049</v>
      </c>
      <c r="L48" s="108">
        <v>-88439</v>
      </c>
      <c r="M48" s="108">
        <v>-344054</v>
      </c>
      <c r="N48" s="108">
        <v>-3143047</v>
      </c>
      <c r="O48" s="108">
        <v>-68144</v>
      </c>
      <c r="P48" s="108">
        <v>17045</v>
      </c>
      <c r="Q48" s="108">
        <v>-981129</v>
      </c>
      <c r="R48" s="108">
        <v>-56955</v>
      </c>
      <c r="S48" s="109">
        <f t="shared" si="1"/>
        <v>-31638719</v>
      </c>
      <c r="T48" s="72"/>
    </row>
    <row r="49" spans="2:20" ht="19.5" customHeight="1">
      <c r="B49" s="104" t="s">
        <v>296</v>
      </c>
      <c r="C49" s="103"/>
      <c r="D49" s="103"/>
      <c r="E49" s="103"/>
      <c r="F49" s="98"/>
      <c r="G49" s="99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0"/>
      <c r="T49" s="72"/>
    </row>
    <row r="50" spans="2:20" ht="19.5" customHeight="1" thickBot="1">
      <c r="B50" s="110" t="s">
        <v>88</v>
      </c>
      <c r="C50" s="111"/>
      <c r="D50" s="111"/>
      <c r="E50" s="111"/>
      <c r="F50" s="112">
        <v>-1967506</v>
      </c>
      <c r="G50" s="113">
        <v>-3647002</v>
      </c>
      <c r="H50" s="114">
        <v>-7291285</v>
      </c>
      <c r="I50" s="114">
        <v>0</v>
      </c>
      <c r="J50" s="114">
        <v>-9593189</v>
      </c>
      <c r="K50" s="114">
        <v>-4475752</v>
      </c>
      <c r="L50" s="114">
        <v>-233257</v>
      </c>
      <c r="M50" s="114">
        <v>-497451</v>
      </c>
      <c r="N50" s="114">
        <v>-3192394</v>
      </c>
      <c r="O50" s="114">
        <v>-62652</v>
      </c>
      <c r="P50" s="114">
        <v>43647</v>
      </c>
      <c r="Q50" s="114">
        <v>-990636</v>
      </c>
      <c r="R50" s="114">
        <v>-174734</v>
      </c>
      <c r="S50" s="115">
        <f>SUM(F50:R50)</f>
        <v>-32082211</v>
      </c>
      <c r="T50" s="72"/>
    </row>
    <row r="51" ht="22.5" customHeight="1"/>
    <row r="52" spans="6:19" ht="17.25"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</row>
  </sheetData>
  <sheetProtection/>
  <mergeCells count="1">
    <mergeCell ref="I6:I7"/>
  </mergeCells>
  <printOptions/>
  <pageMargins left="0.7874015748031497" right="0.3937007874015748" top="0.7086614173228347" bottom="0.7086614173228347" header="0.5118110236220472" footer="0.5118110236220472"/>
  <pageSetup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S49"/>
  <sheetViews>
    <sheetView showGridLines="0" showZeros="0" view="pageBreakPreview" zoomScale="55" zoomScaleNormal="65" zoomScaleSheetLayoutView="55" zoomScalePageLayoutView="0" workbookViewId="0" topLeftCell="A1">
      <pane xSplit="4" ySplit="8" topLeftCell="E9" activePane="bottomRight" state="frozen"/>
      <selection pane="topLeft" activeCell="D31" sqref="D31:P31"/>
      <selection pane="topRight" activeCell="D31" sqref="D31:P31"/>
      <selection pane="bottomLeft" activeCell="D31" sqref="D31:P31"/>
      <selection pane="bottomRight" activeCell="G28" sqref="G28"/>
    </sheetView>
  </sheetViews>
  <sheetFormatPr defaultColWidth="8.66015625" defaultRowHeight="18"/>
  <cols>
    <col min="1" max="1" width="1.66015625" style="119" customWidth="1"/>
    <col min="2" max="3" width="4.66015625" style="119" customWidth="1"/>
    <col min="4" max="4" width="20.66015625" style="119" customWidth="1"/>
    <col min="5" max="17" width="13.16015625" style="119" customWidth="1"/>
    <col min="18" max="18" width="13.66015625" style="119" customWidth="1"/>
    <col min="19" max="19" width="1.66015625" style="119" customWidth="1"/>
    <col min="20" max="20" width="2.66015625" style="119" customWidth="1"/>
    <col min="21" max="16384" width="8.66015625" style="119" customWidth="1"/>
  </cols>
  <sheetData>
    <row r="1" ht="22.5" customHeight="1">
      <c r="B1" s="120" t="s">
        <v>0</v>
      </c>
    </row>
    <row r="2" ht="22.5" customHeight="1"/>
    <row r="3" spans="2:18" ht="22.5" customHeight="1" thickBot="1">
      <c r="B3" s="121" t="s">
        <v>89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2" t="s">
        <v>56</v>
      </c>
    </row>
    <row r="4" spans="2:19" ht="22.5" customHeight="1">
      <c r="B4" s="123"/>
      <c r="E4" s="73"/>
      <c r="F4" s="74"/>
      <c r="G4" s="74"/>
      <c r="H4" s="35"/>
      <c r="I4" s="74"/>
      <c r="J4" s="74"/>
      <c r="K4" s="74"/>
      <c r="L4" s="74"/>
      <c r="M4" s="74"/>
      <c r="N4" s="74"/>
      <c r="O4" s="74"/>
      <c r="P4" s="74"/>
      <c r="Q4" s="74"/>
      <c r="R4" s="74"/>
      <c r="S4" s="123"/>
    </row>
    <row r="5" spans="2:19" ht="22.5" customHeight="1">
      <c r="B5" s="123"/>
      <c r="D5" s="119" t="s">
        <v>90</v>
      </c>
      <c r="E5" s="75" t="s">
        <v>3</v>
      </c>
      <c r="F5" s="76" t="s">
        <v>4</v>
      </c>
      <c r="G5" s="76" t="s">
        <v>5</v>
      </c>
      <c r="H5" s="37" t="s">
        <v>6</v>
      </c>
      <c r="I5" s="76" t="s">
        <v>7</v>
      </c>
      <c r="J5" s="76" t="s">
        <v>8</v>
      </c>
      <c r="K5" s="76" t="s">
        <v>9</v>
      </c>
      <c r="L5" s="76" t="s">
        <v>238</v>
      </c>
      <c r="M5" s="76" t="s">
        <v>239</v>
      </c>
      <c r="N5" s="76" t="s">
        <v>240</v>
      </c>
      <c r="O5" s="76" t="s">
        <v>10</v>
      </c>
      <c r="P5" s="76" t="s">
        <v>241</v>
      </c>
      <c r="Q5" s="76" t="s">
        <v>11</v>
      </c>
      <c r="R5" s="74"/>
      <c r="S5" s="123"/>
    </row>
    <row r="6" spans="2:19" ht="22.5" customHeight="1">
      <c r="B6" s="123"/>
      <c r="E6" s="73"/>
      <c r="F6" s="74"/>
      <c r="G6" s="74"/>
      <c r="H6" s="502" t="s">
        <v>504</v>
      </c>
      <c r="I6" s="74"/>
      <c r="J6" s="74"/>
      <c r="K6" s="74"/>
      <c r="L6" s="74"/>
      <c r="M6" s="74"/>
      <c r="N6" s="74"/>
      <c r="O6" s="74"/>
      <c r="P6" s="74"/>
      <c r="Q6" s="74"/>
      <c r="R6" s="76" t="s">
        <v>12</v>
      </c>
      <c r="S6" s="123"/>
    </row>
    <row r="7" spans="2:19" ht="22.5" customHeight="1">
      <c r="B7" s="123" t="s">
        <v>91</v>
      </c>
      <c r="E7" s="73" t="s">
        <v>355</v>
      </c>
      <c r="F7" s="74" t="s">
        <v>355</v>
      </c>
      <c r="G7" s="74"/>
      <c r="H7" s="502"/>
      <c r="I7" s="74"/>
      <c r="J7" s="74"/>
      <c r="K7" s="74" t="s">
        <v>355</v>
      </c>
      <c r="L7" s="77" t="s">
        <v>356</v>
      </c>
      <c r="M7" s="74" t="s">
        <v>357</v>
      </c>
      <c r="N7" s="74" t="s">
        <v>14</v>
      </c>
      <c r="O7" s="74" t="s">
        <v>14</v>
      </c>
      <c r="P7" s="74" t="s">
        <v>358</v>
      </c>
      <c r="Q7" s="74"/>
      <c r="R7" s="74"/>
      <c r="S7" s="123"/>
    </row>
    <row r="8" spans="2:19" ht="22.5" customHeight="1" thickBot="1">
      <c r="B8" s="124"/>
      <c r="C8" s="121"/>
      <c r="D8" s="121"/>
      <c r="E8" s="118" t="s">
        <v>359</v>
      </c>
      <c r="F8" s="81" t="s">
        <v>360</v>
      </c>
      <c r="G8" s="81" t="s">
        <v>15</v>
      </c>
      <c r="H8" s="433" t="s">
        <v>491</v>
      </c>
      <c r="I8" s="81" t="s">
        <v>319</v>
      </c>
      <c r="J8" s="81" t="s">
        <v>16</v>
      </c>
      <c r="K8" s="81" t="s">
        <v>17</v>
      </c>
      <c r="L8" s="81" t="s">
        <v>318</v>
      </c>
      <c r="M8" s="81" t="s">
        <v>337</v>
      </c>
      <c r="N8" s="81" t="s">
        <v>59</v>
      </c>
      <c r="O8" s="81" t="s">
        <v>60</v>
      </c>
      <c r="P8" s="81" t="s">
        <v>244</v>
      </c>
      <c r="Q8" s="81" t="s">
        <v>18</v>
      </c>
      <c r="R8" s="80"/>
      <c r="S8" s="123"/>
    </row>
    <row r="9" spans="2:19" ht="22.5" customHeight="1">
      <c r="B9" s="125" t="s">
        <v>92</v>
      </c>
      <c r="C9" s="126" t="s">
        <v>93</v>
      </c>
      <c r="D9" s="127"/>
      <c r="E9" s="128">
        <v>3177568</v>
      </c>
      <c r="F9" s="129">
        <v>1298931</v>
      </c>
      <c r="G9" s="129">
        <v>1378794</v>
      </c>
      <c r="H9" s="129">
        <v>0</v>
      </c>
      <c r="I9" s="129">
        <v>827130</v>
      </c>
      <c r="J9" s="129">
        <v>904043</v>
      </c>
      <c r="K9" s="129">
        <v>327836</v>
      </c>
      <c r="L9" s="129">
        <v>408608</v>
      </c>
      <c r="M9" s="129">
        <v>717348</v>
      </c>
      <c r="N9" s="129">
        <v>139715</v>
      </c>
      <c r="O9" s="129">
        <v>113802</v>
      </c>
      <c r="P9" s="129">
        <v>187976</v>
      </c>
      <c r="Q9" s="129">
        <v>895533</v>
      </c>
      <c r="R9" s="130">
        <f>SUM(E9:Q9)</f>
        <v>10377284</v>
      </c>
      <c r="S9" s="123"/>
    </row>
    <row r="10" spans="2:19" ht="22.5" customHeight="1">
      <c r="B10" s="125" t="s">
        <v>48</v>
      </c>
      <c r="C10" s="126" t="s">
        <v>94</v>
      </c>
      <c r="D10" s="127"/>
      <c r="E10" s="131">
        <v>2687303</v>
      </c>
      <c r="F10" s="132">
        <v>917125</v>
      </c>
      <c r="G10" s="132">
        <v>1051596</v>
      </c>
      <c r="H10" s="132">
        <v>0</v>
      </c>
      <c r="I10" s="132">
        <v>781795</v>
      </c>
      <c r="J10" s="132">
        <v>654055</v>
      </c>
      <c r="K10" s="132">
        <v>251861</v>
      </c>
      <c r="L10" s="132">
        <v>238563</v>
      </c>
      <c r="M10" s="132">
        <v>606572</v>
      </c>
      <c r="N10" s="132">
        <v>103932</v>
      </c>
      <c r="O10" s="132">
        <v>74604</v>
      </c>
      <c r="P10" s="132">
        <v>99100</v>
      </c>
      <c r="Q10" s="132">
        <v>691621</v>
      </c>
      <c r="R10" s="130">
        <f aca="true" t="shared" si="0" ref="R10:R48">SUM(E10:Q10)</f>
        <v>8158127</v>
      </c>
      <c r="S10" s="123"/>
    </row>
    <row r="11" spans="2:19" ht="22.5" customHeight="1">
      <c r="B11" s="125" t="s">
        <v>50</v>
      </c>
      <c r="C11" s="126" t="s">
        <v>95</v>
      </c>
      <c r="D11" s="127"/>
      <c r="E11" s="131">
        <v>7059</v>
      </c>
      <c r="F11" s="132">
        <v>446568</v>
      </c>
      <c r="G11" s="132">
        <v>585711</v>
      </c>
      <c r="H11" s="132">
        <v>0</v>
      </c>
      <c r="I11" s="132">
        <v>287836</v>
      </c>
      <c r="J11" s="132">
        <v>344695</v>
      </c>
      <c r="K11" s="132">
        <v>120859</v>
      </c>
      <c r="L11" s="132">
        <v>134305</v>
      </c>
      <c r="M11" s="132">
        <v>273359</v>
      </c>
      <c r="N11" s="132">
        <v>35396</v>
      </c>
      <c r="O11" s="132">
        <v>128601</v>
      </c>
      <c r="P11" s="132">
        <v>82151</v>
      </c>
      <c r="Q11" s="132">
        <v>115442</v>
      </c>
      <c r="R11" s="130">
        <f t="shared" si="0"/>
        <v>2561982</v>
      </c>
      <c r="S11" s="123"/>
    </row>
    <row r="12" spans="2:19" ht="22.5" customHeight="1">
      <c r="B12" s="125" t="s">
        <v>96</v>
      </c>
      <c r="C12" s="126" t="s">
        <v>97</v>
      </c>
      <c r="D12" s="127"/>
      <c r="E12" s="131">
        <v>519143</v>
      </c>
      <c r="F12" s="132">
        <v>219727</v>
      </c>
      <c r="G12" s="132">
        <v>172141</v>
      </c>
      <c r="H12" s="132">
        <v>0</v>
      </c>
      <c r="I12" s="132">
        <v>29609</v>
      </c>
      <c r="J12" s="132">
        <v>112374</v>
      </c>
      <c r="K12" s="132">
        <v>80745</v>
      </c>
      <c r="L12" s="132"/>
      <c r="M12" s="132">
        <v>93837</v>
      </c>
      <c r="N12" s="132">
        <v>0</v>
      </c>
      <c r="O12" s="132">
        <v>0</v>
      </c>
      <c r="P12" s="132">
        <v>0</v>
      </c>
      <c r="Q12" s="132">
        <v>0</v>
      </c>
      <c r="R12" s="130">
        <f t="shared" si="0"/>
        <v>1227576</v>
      </c>
      <c r="S12" s="123"/>
    </row>
    <row r="13" spans="2:19" ht="22.5" customHeight="1">
      <c r="B13" s="125" t="s">
        <v>98</v>
      </c>
      <c r="C13" s="126" t="s">
        <v>99</v>
      </c>
      <c r="D13" s="127"/>
      <c r="E13" s="131">
        <v>1020216</v>
      </c>
      <c r="F13" s="132">
        <v>452503</v>
      </c>
      <c r="G13" s="132">
        <v>490049</v>
      </c>
      <c r="H13" s="132">
        <v>0</v>
      </c>
      <c r="I13" s="132">
        <v>270381</v>
      </c>
      <c r="J13" s="132">
        <v>304495</v>
      </c>
      <c r="K13" s="132">
        <v>92146</v>
      </c>
      <c r="L13" s="132">
        <v>138136</v>
      </c>
      <c r="M13" s="132">
        <v>244249</v>
      </c>
      <c r="N13" s="132">
        <v>49464</v>
      </c>
      <c r="O13" s="132">
        <v>51277</v>
      </c>
      <c r="P13" s="132">
        <v>66100</v>
      </c>
      <c r="Q13" s="132">
        <v>304261</v>
      </c>
      <c r="R13" s="130">
        <f t="shared" si="0"/>
        <v>3483277</v>
      </c>
      <c r="S13" s="123"/>
    </row>
    <row r="14" spans="2:19" ht="22.5" customHeight="1">
      <c r="B14" s="133" t="s">
        <v>100</v>
      </c>
      <c r="C14" s="134" t="s">
        <v>101</v>
      </c>
      <c r="D14" s="135"/>
      <c r="E14" s="136">
        <f>E9+E10+E11+E12+E13</f>
        <v>7411289</v>
      </c>
      <c r="F14" s="137">
        <f aca="true" t="shared" si="1" ref="F14:Q14">F9+F10+F11+F12+F13</f>
        <v>3334854</v>
      </c>
      <c r="G14" s="137">
        <f t="shared" si="1"/>
        <v>3678291</v>
      </c>
      <c r="H14" s="137">
        <f t="shared" si="1"/>
        <v>0</v>
      </c>
      <c r="I14" s="137">
        <f t="shared" si="1"/>
        <v>2196751</v>
      </c>
      <c r="J14" s="137">
        <f t="shared" si="1"/>
        <v>2319662</v>
      </c>
      <c r="K14" s="137">
        <f t="shared" si="1"/>
        <v>873447</v>
      </c>
      <c r="L14" s="137">
        <f t="shared" si="1"/>
        <v>919612</v>
      </c>
      <c r="M14" s="137">
        <f t="shared" si="1"/>
        <v>1935365</v>
      </c>
      <c r="N14" s="137">
        <f t="shared" si="1"/>
        <v>328507</v>
      </c>
      <c r="O14" s="137">
        <f t="shared" si="1"/>
        <v>368284</v>
      </c>
      <c r="P14" s="137">
        <f t="shared" si="1"/>
        <v>435327</v>
      </c>
      <c r="Q14" s="137">
        <f t="shared" si="1"/>
        <v>2006857</v>
      </c>
      <c r="R14" s="138">
        <f t="shared" si="0"/>
        <v>25808246</v>
      </c>
      <c r="S14" s="123"/>
    </row>
    <row r="15" spans="2:19" ht="22.5" customHeight="1">
      <c r="B15" s="139" t="s">
        <v>298</v>
      </c>
      <c r="C15" s="135"/>
      <c r="D15" s="135"/>
      <c r="E15" s="136">
        <f>E16+E17+E18</f>
        <v>89849</v>
      </c>
      <c r="F15" s="137">
        <f aca="true" t="shared" si="2" ref="F15:Q15">F16+F17+F18</f>
        <v>13680</v>
      </c>
      <c r="G15" s="137">
        <f t="shared" si="2"/>
        <v>250219</v>
      </c>
      <c r="H15" s="137">
        <f t="shared" si="2"/>
        <v>2401</v>
      </c>
      <c r="I15" s="137">
        <f t="shared" si="2"/>
        <v>232477</v>
      </c>
      <c r="J15" s="137">
        <f t="shared" si="2"/>
        <v>105053</v>
      </c>
      <c r="K15" s="137">
        <f t="shared" si="2"/>
        <v>28791</v>
      </c>
      <c r="L15" s="137">
        <f t="shared" si="2"/>
        <v>28872</v>
      </c>
      <c r="M15" s="137">
        <f t="shared" si="2"/>
        <v>36129</v>
      </c>
      <c r="N15" s="137">
        <f t="shared" si="2"/>
        <v>3169</v>
      </c>
      <c r="O15" s="137">
        <f t="shared" si="2"/>
        <v>14403</v>
      </c>
      <c r="P15" s="137">
        <f t="shared" si="2"/>
        <v>4896</v>
      </c>
      <c r="Q15" s="137">
        <f t="shared" si="2"/>
        <v>51062</v>
      </c>
      <c r="R15" s="138">
        <f t="shared" si="0"/>
        <v>861001</v>
      </c>
      <c r="S15" s="123"/>
    </row>
    <row r="16" spans="2:19" ht="22.5" customHeight="1">
      <c r="B16" s="123"/>
      <c r="C16" s="145" t="s">
        <v>492</v>
      </c>
      <c r="D16" s="127"/>
      <c r="E16" s="131">
        <v>89849</v>
      </c>
      <c r="F16" s="132">
        <v>13500</v>
      </c>
      <c r="G16" s="132">
        <v>250219</v>
      </c>
      <c r="H16" s="132">
        <v>2401</v>
      </c>
      <c r="I16" s="132">
        <v>226609</v>
      </c>
      <c r="J16" s="132">
        <v>105053</v>
      </c>
      <c r="K16" s="132">
        <v>28791</v>
      </c>
      <c r="L16" s="132">
        <v>28730</v>
      </c>
      <c r="M16" s="132">
        <v>33469</v>
      </c>
      <c r="N16" s="132">
        <v>3169</v>
      </c>
      <c r="O16" s="132">
        <v>14403</v>
      </c>
      <c r="P16" s="132">
        <v>4896</v>
      </c>
      <c r="Q16" s="132">
        <v>51062</v>
      </c>
      <c r="R16" s="130">
        <f t="shared" si="0"/>
        <v>852151</v>
      </c>
      <c r="S16" s="123"/>
    </row>
    <row r="17" spans="2:19" ht="22.5" customHeight="1">
      <c r="B17" s="123"/>
      <c r="C17" s="145" t="s">
        <v>493</v>
      </c>
      <c r="D17" s="127"/>
      <c r="E17" s="131">
        <v>0</v>
      </c>
      <c r="F17" s="132">
        <v>180</v>
      </c>
      <c r="G17" s="132"/>
      <c r="H17" s="132">
        <v>0</v>
      </c>
      <c r="I17" s="132">
        <v>1493</v>
      </c>
      <c r="J17" s="132">
        <v>0</v>
      </c>
      <c r="K17" s="132">
        <v>0</v>
      </c>
      <c r="L17" s="132">
        <v>142</v>
      </c>
      <c r="M17" s="132">
        <v>260</v>
      </c>
      <c r="N17" s="132">
        <v>0</v>
      </c>
      <c r="O17" s="132">
        <v>0</v>
      </c>
      <c r="P17" s="132">
        <v>0</v>
      </c>
      <c r="Q17" s="132">
        <v>0</v>
      </c>
      <c r="R17" s="130">
        <f t="shared" si="0"/>
        <v>2075</v>
      </c>
      <c r="S17" s="123"/>
    </row>
    <row r="18" spans="2:19" ht="22.5" customHeight="1">
      <c r="B18" s="140"/>
      <c r="C18" s="134" t="s">
        <v>102</v>
      </c>
      <c r="D18" s="135"/>
      <c r="E18" s="136">
        <v>0</v>
      </c>
      <c r="F18" s="137">
        <v>0</v>
      </c>
      <c r="G18" s="137">
        <v>0</v>
      </c>
      <c r="H18" s="137">
        <v>0</v>
      </c>
      <c r="I18" s="137">
        <v>4375</v>
      </c>
      <c r="J18" s="137">
        <v>0</v>
      </c>
      <c r="K18" s="137">
        <v>0</v>
      </c>
      <c r="L18" s="137">
        <v>0</v>
      </c>
      <c r="M18" s="137">
        <v>2400</v>
      </c>
      <c r="N18" s="137">
        <v>0</v>
      </c>
      <c r="O18" s="137">
        <v>0</v>
      </c>
      <c r="P18" s="137">
        <v>0</v>
      </c>
      <c r="Q18" s="137">
        <v>0</v>
      </c>
      <c r="R18" s="138">
        <f t="shared" si="0"/>
        <v>6775</v>
      </c>
      <c r="S18" s="123"/>
    </row>
    <row r="19" spans="2:19" ht="22.5" customHeight="1">
      <c r="B19" s="141" t="s">
        <v>299</v>
      </c>
      <c r="C19" s="135"/>
      <c r="D19" s="135"/>
      <c r="E19" s="136">
        <v>1186469</v>
      </c>
      <c r="F19" s="137">
        <v>219141</v>
      </c>
      <c r="G19" s="137">
        <v>448706</v>
      </c>
      <c r="H19" s="137">
        <v>0</v>
      </c>
      <c r="I19" s="137">
        <v>519332</v>
      </c>
      <c r="J19" s="137">
        <v>268884</v>
      </c>
      <c r="K19" s="137">
        <v>120558</v>
      </c>
      <c r="L19" s="137">
        <v>129034</v>
      </c>
      <c r="M19" s="137">
        <v>207621</v>
      </c>
      <c r="N19" s="137">
        <v>22743</v>
      </c>
      <c r="O19" s="137">
        <v>32463</v>
      </c>
      <c r="P19" s="137">
        <v>39577</v>
      </c>
      <c r="Q19" s="137">
        <v>196856</v>
      </c>
      <c r="R19" s="138">
        <f t="shared" si="0"/>
        <v>3391384</v>
      </c>
      <c r="S19" s="123"/>
    </row>
    <row r="20" spans="2:19" ht="22.5" customHeight="1">
      <c r="B20" s="140" t="s">
        <v>103</v>
      </c>
      <c r="C20" s="135"/>
      <c r="D20" s="135"/>
      <c r="E20" s="136">
        <v>379967</v>
      </c>
      <c r="F20" s="137">
        <v>90432</v>
      </c>
      <c r="G20" s="137">
        <v>115680</v>
      </c>
      <c r="H20" s="137">
        <v>0</v>
      </c>
      <c r="I20" s="137">
        <v>144087</v>
      </c>
      <c r="J20" s="137">
        <v>76681</v>
      </c>
      <c r="K20" s="137">
        <v>32176</v>
      </c>
      <c r="L20" s="137">
        <v>23749</v>
      </c>
      <c r="M20" s="137">
        <v>75922</v>
      </c>
      <c r="N20" s="137">
        <v>4849</v>
      </c>
      <c r="O20" s="137">
        <v>13812</v>
      </c>
      <c r="P20" s="137">
        <v>12131</v>
      </c>
      <c r="Q20" s="137">
        <v>61254</v>
      </c>
      <c r="R20" s="138">
        <f t="shared" si="0"/>
        <v>1030740</v>
      </c>
      <c r="S20" s="123"/>
    </row>
    <row r="21" spans="2:19" ht="22.5" customHeight="1">
      <c r="B21" s="140" t="s">
        <v>104</v>
      </c>
      <c r="C21" s="135"/>
      <c r="D21" s="135"/>
      <c r="E21" s="136">
        <v>12743</v>
      </c>
      <c r="F21" s="137">
        <v>6746</v>
      </c>
      <c r="G21" s="137">
        <v>8665</v>
      </c>
      <c r="H21" s="137">
        <v>0</v>
      </c>
      <c r="I21" s="137">
        <v>4433</v>
      </c>
      <c r="J21" s="137">
        <v>4542</v>
      </c>
      <c r="K21" s="137">
        <v>1693</v>
      </c>
      <c r="L21" s="137">
        <v>4172</v>
      </c>
      <c r="M21" s="137">
        <v>4447</v>
      </c>
      <c r="N21" s="137">
        <v>638</v>
      </c>
      <c r="O21" s="137">
        <v>996</v>
      </c>
      <c r="P21" s="137">
        <v>2228</v>
      </c>
      <c r="Q21" s="137">
        <v>5211</v>
      </c>
      <c r="R21" s="138">
        <f t="shared" si="0"/>
        <v>56514</v>
      </c>
      <c r="S21" s="123"/>
    </row>
    <row r="22" spans="2:19" ht="22.5" customHeight="1">
      <c r="B22" s="140" t="s">
        <v>105</v>
      </c>
      <c r="C22" s="135"/>
      <c r="D22" s="135"/>
      <c r="E22" s="136">
        <v>107247</v>
      </c>
      <c r="F22" s="137">
        <v>43832</v>
      </c>
      <c r="G22" s="137">
        <v>147923</v>
      </c>
      <c r="H22" s="137">
        <v>0</v>
      </c>
      <c r="I22" s="137">
        <v>23108</v>
      </c>
      <c r="J22" s="137">
        <v>82794</v>
      </c>
      <c r="K22" s="137">
        <v>8202</v>
      </c>
      <c r="L22" s="137">
        <v>10261</v>
      </c>
      <c r="M22" s="137">
        <v>56498</v>
      </c>
      <c r="N22" s="137">
        <v>1494</v>
      </c>
      <c r="O22" s="137">
        <v>3184</v>
      </c>
      <c r="P22" s="137">
        <v>2260</v>
      </c>
      <c r="Q22" s="137">
        <v>45898</v>
      </c>
      <c r="R22" s="138">
        <f t="shared" si="0"/>
        <v>532701</v>
      </c>
      <c r="S22" s="123"/>
    </row>
    <row r="23" spans="2:19" ht="22.5" customHeight="1">
      <c r="B23" s="141" t="s">
        <v>300</v>
      </c>
      <c r="C23" s="135"/>
      <c r="D23" s="135"/>
      <c r="E23" s="136">
        <v>1652284</v>
      </c>
      <c r="F23" s="137">
        <v>564535</v>
      </c>
      <c r="G23" s="137">
        <v>488260</v>
      </c>
      <c r="H23" s="137">
        <v>0</v>
      </c>
      <c r="I23" s="137">
        <v>434312</v>
      </c>
      <c r="J23" s="137">
        <v>289382</v>
      </c>
      <c r="K23" s="137">
        <v>186780</v>
      </c>
      <c r="L23" s="137">
        <v>124832</v>
      </c>
      <c r="M23" s="137">
        <v>288554</v>
      </c>
      <c r="N23" s="137">
        <v>14896</v>
      </c>
      <c r="O23" s="137">
        <v>102064</v>
      </c>
      <c r="P23" s="137">
        <v>75999</v>
      </c>
      <c r="Q23" s="137">
        <v>217659</v>
      </c>
      <c r="R23" s="138">
        <f t="shared" si="0"/>
        <v>4439557</v>
      </c>
      <c r="S23" s="123"/>
    </row>
    <row r="24" spans="2:19" ht="22.5" customHeight="1">
      <c r="B24" s="123" t="s">
        <v>106</v>
      </c>
      <c r="C24" s="142" t="s">
        <v>107</v>
      </c>
      <c r="D24" s="126" t="s">
        <v>108</v>
      </c>
      <c r="E24" s="131">
        <v>876666</v>
      </c>
      <c r="F24" s="132">
        <v>123055</v>
      </c>
      <c r="G24" s="132">
        <v>383934</v>
      </c>
      <c r="H24" s="132">
        <v>0</v>
      </c>
      <c r="I24" s="132">
        <v>55054</v>
      </c>
      <c r="J24" s="132">
        <v>168877</v>
      </c>
      <c r="K24" s="132">
        <v>189398</v>
      </c>
      <c r="L24" s="132">
        <v>24252</v>
      </c>
      <c r="M24" s="132">
        <v>22844</v>
      </c>
      <c r="N24" s="132">
        <v>18958</v>
      </c>
      <c r="O24" s="132">
        <v>6296</v>
      </c>
      <c r="P24" s="132">
        <v>14785</v>
      </c>
      <c r="Q24" s="132">
        <v>65841</v>
      </c>
      <c r="R24" s="130">
        <f t="shared" si="0"/>
        <v>1949960</v>
      </c>
      <c r="S24" s="123"/>
    </row>
    <row r="25" spans="2:19" ht="22.5" customHeight="1">
      <c r="B25" s="123" t="s">
        <v>109</v>
      </c>
      <c r="C25" s="143" t="s">
        <v>352</v>
      </c>
      <c r="D25" s="126" t="s">
        <v>110</v>
      </c>
      <c r="E25" s="131">
        <v>1777422</v>
      </c>
      <c r="F25" s="132">
        <v>374074</v>
      </c>
      <c r="G25" s="132">
        <v>840042</v>
      </c>
      <c r="H25" s="132">
        <v>0</v>
      </c>
      <c r="I25" s="132">
        <v>209054</v>
      </c>
      <c r="J25" s="132">
        <v>379808</v>
      </c>
      <c r="K25" s="132">
        <v>54921</v>
      </c>
      <c r="L25" s="132">
        <v>105292</v>
      </c>
      <c r="M25" s="132">
        <v>211189</v>
      </c>
      <c r="N25" s="132">
        <v>24128</v>
      </c>
      <c r="O25" s="132">
        <v>19635</v>
      </c>
      <c r="P25" s="132">
        <v>19532</v>
      </c>
      <c r="Q25" s="132">
        <v>217125</v>
      </c>
      <c r="R25" s="130">
        <f t="shared" si="0"/>
        <v>4232222</v>
      </c>
      <c r="S25" s="123"/>
    </row>
    <row r="26" spans="2:19" ht="22.5" customHeight="1">
      <c r="B26" s="144" t="s">
        <v>111</v>
      </c>
      <c r="C26" s="145" t="s">
        <v>349</v>
      </c>
      <c r="D26" s="126" t="s">
        <v>112</v>
      </c>
      <c r="E26" s="131">
        <v>2654088</v>
      </c>
      <c r="F26" s="132">
        <v>497129</v>
      </c>
      <c r="G26" s="132">
        <v>1223976</v>
      </c>
      <c r="H26" s="132">
        <v>0</v>
      </c>
      <c r="I26" s="132">
        <v>264108</v>
      </c>
      <c r="J26" s="132">
        <v>548685</v>
      </c>
      <c r="K26" s="132">
        <v>244319</v>
      </c>
      <c r="L26" s="132">
        <v>129544</v>
      </c>
      <c r="M26" s="132">
        <v>234033</v>
      </c>
      <c r="N26" s="132">
        <v>43086</v>
      </c>
      <c r="O26" s="132">
        <v>25931</v>
      </c>
      <c r="P26" s="132">
        <v>34317</v>
      </c>
      <c r="Q26" s="132">
        <v>282966</v>
      </c>
      <c r="R26" s="130">
        <f t="shared" si="0"/>
        <v>6182182</v>
      </c>
      <c r="S26" s="123"/>
    </row>
    <row r="27" spans="2:19" ht="22.5" customHeight="1">
      <c r="B27" s="146" t="s">
        <v>350</v>
      </c>
      <c r="C27" s="126" t="s">
        <v>113</v>
      </c>
      <c r="D27" s="127"/>
      <c r="E27" s="131">
        <v>2277970</v>
      </c>
      <c r="F27" s="132">
        <v>514531</v>
      </c>
      <c r="G27" s="132">
        <v>720055</v>
      </c>
      <c r="H27" s="132">
        <v>0</v>
      </c>
      <c r="I27" s="132">
        <v>459738</v>
      </c>
      <c r="J27" s="132">
        <v>472159</v>
      </c>
      <c r="K27" s="132">
        <v>92933</v>
      </c>
      <c r="L27" s="132">
        <v>78159</v>
      </c>
      <c r="M27" s="132">
        <v>311507</v>
      </c>
      <c r="N27" s="132">
        <v>14984</v>
      </c>
      <c r="O27" s="132">
        <v>33844</v>
      </c>
      <c r="P27" s="132">
        <v>19810</v>
      </c>
      <c r="Q27" s="132">
        <v>289648</v>
      </c>
      <c r="R27" s="130">
        <f t="shared" si="0"/>
        <v>5285338</v>
      </c>
      <c r="S27" s="123"/>
    </row>
    <row r="28" spans="2:19" ht="22.5" customHeight="1">
      <c r="B28" s="147" t="s">
        <v>351</v>
      </c>
      <c r="C28" s="134" t="s">
        <v>114</v>
      </c>
      <c r="D28" s="135"/>
      <c r="E28" s="136">
        <f>E26+E27</f>
        <v>4932058</v>
      </c>
      <c r="F28" s="137">
        <v>1011660</v>
      </c>
      <c r="G28" s="137">
        <v>1944031</v>
      </c>
      <c r="H28" s="137">
        <f aca="true" t="shared" si="3" ref="H28:N28">H26+H27</f>
        <v>0</v>
      </c>
      <c r="I28" s="137">
        <f t="shared" si="3"/>
        <v>723846</v>
      </c>
      <c r="J28" s="137">
        <f t="shared" si="3"/>
        <v>1020844</v>
      </c>
      <c r="K28" s="137">
        <f t="shared" si="3"/>
        <v>337252</v>
      </c>
      <c r="L28" s="137">
        <f t="shared" si="3"/>
        <v>207703</v>
      </c>
      <c r="M28" s="137">
        <f t="shared" si="3"/>
        <v>545540</v>
      </c>
      <c r="N28" s="137">
        <f t="shared" si="3"/>
        <v>58070</v>
      </c>
      <c r="O28" s="137">
        <v>59775</v>
      </c>
      <c r="P28" s="137">
        <v>54127</v>
      </c>
      <c r="Q28" s="137">
        <v>572614</v>
      </c>
      <c r="R28" s="138">
        <f t="shared" si="0"/>
        <v>11467520</v>
      </c>
      <c r="S28" s="123"/>
    </row>
    <row r="29" spans="2:19" ht="22.5" customHeight="1">
      <c r="B29" s="141" t="s">
        <v>353</v>
      </c>
      <c r="C29" s="135"/>
      <c r="D29" s="135"/>
      <c r="E29" s="136">
        <v>2750</v>
      </c>
      <c r="F29" s="137">
        <v>2508</v>
      </c>
      <c r="G29" s="137">
        <v>65732</v>
      </c>
      <c r="H29" s="137">
        <v>0</v>
      </c>
      <c r="I29" s="137">
        <v>0</v>
      </c>
      <c r="J29" s="137">
        <v>0</v>
      </c>
      <c r="K29" s="137">
        <v>0</v>
      </c>
      <c r="L29" s="137">
        <v>0</v>
      </c>
      <c r="M29" s="137">
        <v>117</v>
      </c>
      <c r="N29" s="137">
        <v>4409</v>
      </c>
      <c r="O29" s="137">
        <v>11740</v>
      </c>
      <c r="P29" s="137">
        <v>0</v>
      </c>
      <c r="Q29" s="137">
        <v>38031</v>
      </c>
      <c r="R29" s="138">
        <f t="shared" si="0"/>
        <v>125287</v>
      </c>
      <c r="S29" s="123"/>
    </row>
    <row r="30" spans="2:19" ht="22.5" customHeight="1">
      <c r="B30" s="140" t="s">
        <v>115</v>
      </c>
      <c r="C30" s="135"/>
      <c r="D30" s="135"/>
      <c r="E30" s="136">
        <v>1622892</v>
      </c>
      <c r="F30" s="137">
        <v>361354</v>
      </c>
      <c r="G30" s="137">
        <v>485271</v>
      </c>
      <c r="H30" s="137">
        <v>0</v>
      </c>
      <c r="I30" s="137">
        <v>680200</v>
      </c>
      <c r="J30" s="137">
        <v>365695</v>
      </c>
      <c r="K30" s="137">
        <v>167649</v>
      </c>
      <c r="L30" s="137">
        <v>118765</v>
      </c>
      <c r="M30" s="137">
        <v>229189</v>
      </c>
      <c r="N30" s="137">
        <v>53841</v>
      </c>
      <c r="O30" s="137">
        <v>38207</v>
      </c>
      <c r="P30" s="137">
        <v>166711</v>
      </c>
      <c r="Q30" s="137">
        <v>1006850</v>
      </c>
      <c r="R30" s="138">
        <f t="shared" si="0"/>
        <v>5296624</v>
      </c>
      <c r="S30" s="123"/>
    </row>
    <row r="31" spans="2:19" ht="22.5" customHeight="1">
      <c r="B31" s="140" t="s">
        <v>116</v>
      </c>
      <c r="C31" s="135"/>
      <c r="D31" s="135"/>
      <c r="E31" s="136">
        <f>E14+E15+E19+E20+E21+E22+E23+E28+E29+E30</f>
        <v>17397548</v>
      </c>
      <c r="F31" s="137">
        <f aca="true" t="shared" si="4" ref="F31:Q31">F14+F15+F19+F20+F21+F22+F23+F28+F29+F30</f>
        <v>5648742</v>
      </c>
      <c r="G31" s="137">
        <f t="shared" si="4"/>
        <v>7632778</v>
      </c>
      <c r="H31" s="137">
        <f t="shared" si="4"/>
        <v>2401</v>
      </c>
      <c r="I31" s="137">
        <f t="shared" si="4"/>
        <v>4958546</v>
      </c>
      <c r="J31" s="137">
        <f t="shared" si="4"/>
        <v>4533537</v>
      </c>
      <c r="K31" s="137">
        <f t="shared" si="4"/>
        <v>1756548</v>
      </c>
      <c r="L31" s="137">
        <f t="shared" si="4"/>
        <v>1567000</v>
      </c>
      <c r="M31" s="137">
        <f t="shared" si="4"/>
        <v>3379382</v>
      </c>
      <c r="N31" s="137">
        <f t="shared" si="4"/>
        <v>492616</v>
      </c>
      <c r="O31" s="137">
        <f t="shared" si="4"/>
        <v>644928</v>
      </c>
      <c r="P31" s="137">
        <f t="shared" si="4"/>
        <v>793256</v>
      </c>
      <c r="Q31" s="137">
        <f t="shared" si="4"/>
        <v>4202292</v>
      </c>
      <c r="R31" s="138">
        <f t="shared" si="0"/>
        <v>53009574</v>
      </c>
      <c r="S31" s="123"/>
    </row>
    <row r="32" spans="2:19" ht="22.5" customHeight="1">
      <c r="B32" s="123"/>
      <c r="C32" s="148"/>
      <c r="D32" s="126" t="s">
        <v>117</v>
      </c>
      <c r="E32" s="131">
        <v>197239</v>
      </c>
      <c r="F32" s="132">
        <v>31764</v>
      </c>
      <c r="G32" s="132">
        <v>119312</v>
      </c>
      <c r="H32" s="132">
        <v>0</v>
      </c>
      <c r="I32" s="132">
        <v>33828</v>
      </c>
      <c r="J32" s="132">
        <v>44429</v>
      </c>
      <c r="K32" s="132">
        <v>38883</v>
      </c>
      <c r="L32" s="132">
        <v>12577</v>
      </c>
      <c r="M32" s="132">
        <v>21004</v>
      </c>
      <c r="N32" s="132">
        <v>4724</v>
      </c>
      <c r="O32" s="132">
        <v>3668</v>
      </c>
      <c r="P32" s="132">
        <v>4883</v>
      </c>
      <c r="Q32" s="132">
        <v>18459</v>
      </c>
      <c r="R32" s="130">
        <f t="shared" si="0"/>
        <v>530770</v>
      </c>
      <c r="S32" s="123"/>
    </row>
    <row r="33" spans="2:19" ht="22.5" customHeight="1">
      <c r="B33" s="123"/>
      <c r="C33" s="142"/>
      <c r="D33" s="126" t="s">
        <v>119</v>
      </c>
      <c r="E33" s="131">
        <v>1226429</v>
      </c>
      <c r="F33" s="132">
        <v>76518</v>
      </c>
      <c r="G33" s="132">
        <v>284014</v>
      </c>
      <c r="H33" s="132">
        <v>0</v>
      </c>
      <c r="I33" s="132">
        <v>149445</v>
      </c>
      <c r="J33" s="132">
        <v>137723</v>
      </c>
      <c r="K33" s="132">
        <v>42165</v>
      </c>
      <c r="L33" s="132">
        <v>35014</v>
      </c>
      <c r="M33" s="132">
        <v>80387</v>
      </c>
      <c r="N33" s="132">
        <v>22502</v>
      </c>
      <c r="O33" s="132">
        <v>7334</v>
      </c>
      <c r="P33" s="132">
        <v>11230</v>
      </c>
      <c r="Q33" s="132">
        <v>25774</v>
      </c>
      <c r="R33" s="130">
        <f t="shared" si="0"/>
        <v>2098535</v>
      </c>
      <c r="S33" s="123"/>
    </row>
    <row r="34" spans="2:19" ht="22.5" customHeight="1">
      <c r="B34" s="125" t="s">
        <v>121</v>
      </c>
      <c r="C34" s="142" t="s">
        <v>118</v>
      </c>
      <c r="D34" s="126" t="s">
        <v>120</v>
      </c>
      <c r="E34" s="131">
        <v>3556686</v>
      </c>
      <c r="F34" s="132">
        <v>742772</v>
      </c>
      <c r="G34" s="132">
        <v>1160485</v>
      </c>
      <c r="H34" s="132">
        <v>0</v>
      </c>
      <c r="I34" s="132">
        <v>541723</v>
      </c>
      <c r="J34" s="132">
        <v>656459</v>
      </c>
      <c r="K34" s="132">
        <v>119151</v>
      </c>
      <c r="L34" s="132">
        <v>88880</v>
      </c>
      <c r="M34" s="132">
        <v>357118</v>
      </c>
      <c r="N34" s="132">
        <v>9135</v>
      </c>
      <c r="O34" s="132">
        <v>22600</v>
      </c>
      <c r="P34" s="132">
        <v>9347</v>
      </c>
      <c r="Q34" s="132">
        <v>298764</v>
      </c>
      <c r="R34" s="130">
        <f t="shared" si="0"/>
        <v>7563120</v>
      </c>
      <c r="S34" s="123"/>
    </row>
    <row r="35" spans="2:19" ht="22.5" customHeight="1">
      <c r="B35" s="125"/>
      <c r="C35" s="148"/>
      <c r="D35" s="126" t="s">
        <v>122</v>
      </c>
      <c r="E35" s="131">
        <v>528488</v>
      </c>
      <c r="F35" s="132">
        <v>33193</v>
      </c>
      <c r="G35" s="132">
        <v>141670</v>
      </c>
      <c r="H35" s="132">
        <v>0</v>
      </c>
      <c r="I35" s="132">
        <v>154886</v>
      </c>
      <c r="J35" s="132">
        <v>113430</v>
      </c>
      <c r="K35" s="132">
        <v>27285</v>
      </c>
      <c r="L35" s="132">
        <v>16562</v>
      </c>
      <c r="M35" s="132">
        <v>49719</v>
      </c>
      <c r="N35" s="132">
        <v>6708</v>
      </c>
      <c r="O35" s="132">
        <v>7847</v>
      </c>
      <c r="P35" s="132">
        <v>14391</v>
      </c>
      <c r="Q35" s="132">
        <v>16180</v>
      </c>
      <c r="R35" s="130">
        <f t="shared" si="0"/>
        <v>1110359</v>
      </c>
      <c r="S35" s="123"/>
    </row>
    <row r="36" spans="2:19" ht="22.5" customHeight="1">
      <c r="B36" s="123"/>
      <c r="C36" s="148"/>
      <c r="D36" s="126" t="s">
        <v>123</v>
      </c>
      <c r="E36" s="131">
        <v>274162</v>
      </c>
      <c r="F36" s="132">
        <v>8195</v>
      </c>
      <c r="G36" s="132">
        <v>53549</v>
      </c>
      <c r="H36" s="132">
        <v>0</v>
      </c>
      <c r="I36" s="132">
        <v>91821</v>
      </c>
      <c r="J36" s="132">
        <v>70497</v>
      </c>
      <c r="K36" s="132">
        <v>20086</v>
      </c>
      <c r="L36" s="132">
        <v>10489</v>
      </c>
      <c r="M36" s="132">
        <v>44945</v>
      </c>
      <c r="N36" s="132">
        <v>2720</v>
      </c>
      <c r="O36" s="132">
        <v>4098</v>
      </c>
      <c r="P36" s="132">
        <v>6199</v>
      </c>
      <c r="Q36" s="132">
        <v>6160</v>
      </c>
      <c r="R36" s="130">
        <f t="shared" si="0"/>
        <v>592921</v>
      </c>
      <c r="S36" s="123"/>
    </row>
    <row r="37" spans="2:19" ht="22.5" customHeight="1">
      <c r="B37" s="123"/>
      <c r="C37" s="148"/>
      <c r="D37" s="126" t="s">
        <v>124</v>
      </c>
      <c r="E37" s="131">
        <v>4062312</v>
      </c>
      <c r="F37" s="132">
        <v>1915270</v>
      </c>
      <c r="G37" s="132">
        <v>2653647</v>
      </c>
      <c r="H37" s="132">
        <v>0</v>
      </c>
      <c r="I37" s="132">
        <v>1221713</v>
      </c>
      <c r="J37" s="132">
        <v>1170624</v>
      </c>
      <c r="K37" s="132">
        <v>347636</v>
      </c>
      <c r="L37" s="132">
        <v>335096</v>
      </c>
      <c r="M37" s="132">
        <v>541337</v>
      </c>
      <c r="N37" s="132">
        <v>106372</v>
      </c>
      <c r="O37" s="132">
        <v>289514</v>
      </c>
      <c r="P37" s="132">
        <v>162466</v>
      </c>
      <c r="Q37" s="132">
        <v>1451360</v>
      </c>
      <c r="R37" s="130">
        <f t="shared" si="0"/>
        <v>14257347</v>
      </c>
      <c r="S37" s="123"/>
    </row>
    <row r="38" spans="2:19" ht="22.5" customHeight="1">
      <c r="B38" s="125" t="s">
        <v>125</v>
      </c>
      <c r="C38" s="142" t="s">
        <v>126</v>
      </c>
      <c r="D38" s="126" t="s">
        <v>127</v>
      </c>
      <c r="E38" s="131">
        <v>318859</v>
      </c>
      <c r="F38" s="132">
        <v>104108</v>
      </c>
      <c r="G38" s="132">
        <v>154258</v>
      </c>
      <c r="H38" s="132">
        <v>0</v>
      </c>
      <c r="I38" s="132">
        <v>85633</v>
      </c>
      <c r="J38" s="132">
        <v>128901</v>
      </c>
      <c r="K38" s="132">
        <v>33068</v>
      </c>
      <c r="L38" s="132">
        <v>39747</v>
      </c>
      <c r="M38" s="132">
        <v>48745</v>
      </c>
      <c r="N38" s="132">
        <v>11964</v>
      </c>
      <c r="O38" s="132">
        <v>29243</v>
      </c>
      <c r="P38" s="132">
        <v>17121</v>
      </c>
      <c r="Q38" s="132">
        <v>97918</v>
      </c>
      <c r="R38" s="130">
        <f t="shared" si="0"/>
        <v>1069565</v>
      </c>
      <c r="S38" s="123"/>
    </row>
    <row r="39" spans="2:19" ht="22.5" customHeight="1">
      <c r="B39" s="123"/>
      <c r="C39" s="142"/>
      <c r="D39" s="148" t="s">
        <v>128</v>
      </c>
      <c r="E39" s="149">
        <v>833614</v>
      </c>
      <c r="F39" s="150">
        <v>116170</v>
      </c>
      <c r="G39" s="150">
        <v>206406</v>
      </c>
      <c r="H39" s="150">
        <v>0</v>
      </c>
      <c r="I39" s="150">
        <v>38928</v>
      </c>
      <c r="J39" s="150">
        <v>145981</v>
      </c>
      <c r="K39" s="150">
        <v>21419</v>
      </c>
      <c r="L39" s="150">
        <v>13687</v>
      </c>
      <c r="M39" s="150">
        <v>35366</v>
      </c>
      <c r="N39" s="150">
        <v>2404</v>
      </c>
      <c r="O39" s="150">
        <v>18504</v>
      </c>
      <c r="P39" s="150">
        <v>5380</v>
      </c>
      <c r="Q39" s="150">
        <v>227538</v>
      </c>
      <c r="R39" s="151">
        <f t="shared" si="0"/>
        <v>1665397</v>
      </c>
      <c r="S39" s="123"/>
    </row>
    <row r="40" spans="2:19" ht="22.5" customHeight="1">
      <c r="B40" s="123"/>
      <c r="C40" s="152"/>
      <c r="D40" s="153" t="s">
        <v>354</v>
      </c>
      <c r="E40" s="154">
        <f>E32+E33+E34+E35+E36+E37+E38+E39</f>
        <v>10997789</v>
      </c>
      <c r="F40" s="155">
        <f aca="true" t="shared" si="5" ref="F40:Q40">F32+F33+F34+F35+F36+F37+F38+F39</f>
        <v>3027990</v>
      </c>
      <c r="G40" s="155">
        <f t="shared" si="5"/>
        <v>4773341</v>
      </c>
      <c r="H40" s="155">
        <f t="shared" si="5"/>
        <v>0</v>
      </c>
      <c r="I40" s="155">
        <f t="shared" si="5"/>
        <v>2317977</v>
      </c>
      <c r="J40" s="155">
        <f t="shared" si="5"/>
        <v>2468044</v>
      </c>
      <c r="K40" s="155">
        <f t="shared" si="5"/>
        <v>649693</v>
      </c>
      <c r="L40" s="155">
        <f t="shared" si="5"/>
        <v>552052</v>
      </c>
      <c r="M40" s="155">
        <f t="shared" si="5"/>
        <v>1178621</v>
      </c>
      <c r="N40" s="155">
        <f t="shared" si="5"/>
        <v>166529</v>
      </c>
      <c r="O40" s="155">
        <f t="shared" si="5"/>
        <v>382808</v>
      </c>
      <c r="P40" s="155">
        <f t="shared" si="5"/>
        <v>231017</v>
      </c>
      <c r="Q40" s="155">
        <f t="shared" si="5"/>
        <v>2142153</v>
      </c>
      <c r="R40" s="156">
        <f t="shared" si="0"/>
        <v>28888014</v>
      </c>
      <c r="S40" s="123"/>
    </row>
    <row r="41" spans="2:19" ht="22.5" customHeight="1">
      <c r="B41" s="123"/>
      <c r="C41" s="148"/>
      <c r="D41" s="126" t="s">
        <v>129</v>
      </c>
      <c r="E41" s="131">
        <v>211266</v>
      </c>
      <c r="F41" s="132">
        <v>39075</v>
      </c>
      <c r="G41" s="132">
        <v>42584</v>
      </c>
      <c r="H41" s="132">
        <v>0</v>
      </c>
      <c r="I41" s="132">
        <v>41216</v>
      </c>
      <c r="J41" s="132">
        <v>46567</v>
      </c>
      <c r="K41" s="132">
        <v>15812</v>
      </c>
      <c r="L41" s="132">
        <v>12429</v>
      </c>
      <c r="M41" s="132">
        <v>32993</v>
      </c>
      <c r="N41" s="132">
        <v>3378</v>
      </c>
      <c r="O41" s="132">
        <v>8351</v>
      </c>
      <c r="P41" s="132">
        <v>5661</v>
      </c>
      <c r="Q41" s="132">
        <v>38720</v>
      </c>
      <c r="R41" s="130">
        <f t="shared" si="0"/>
        <v>498052</v>
      </c>
      <c r="S41" s="123"/>
    </row>
    <row r="42" spans="2:19" ht="22.5" customHeight="1">
      <c r="B42" s="125" t="s">
        <v>130</v>
      </c>
      <c r="C42" s="142"/>
      <c r="D42" s="126" t="s">
        <v>132</v>
      </c>
      <c r="E42" s="131">
        <v>1045867</v>
      </c>
      <c r="F42" s="132">
        <v>77606</v>
      </c>
      <c r="G42" s="132">
        <v>82579</v>
      </c>
      <c r="H42" s="132">
        <v>0</v>
      </c>
      <c r="I42" s="132">
        <v>46086</v>
      </c>
      <c r="J42" s="132">
        <v>83659</v>
      </c>
      <c r="K42" s="132">
        <v>26886</v>
      </c>
      <c r="L42" s="132">
        <v>61288</v>
      </c>
      <c r="M42" s="132">
        <v>66146</v>
      </c>
      <c r="N42" s="132">
        <v>14164</v>
      </c>
      <c r="O42" s="132">
        <v>46776</v>
      </c>
      <c r="P42" s="132">
        <v>60680</v>
      </c>
      <c r="Q42" s="132">
        <v>44142</v>
      </c>
      <c r="R42" s="130">
        <f t="shared" si="0"/>
        <v>1655879</v>
      </c>
      <c r="S42" s="123"/>
    </row>
    <row r="43" spans="2:19" ht="22.5" customHeight="1">
      <c r="B43" s="123"/>
      <c r="C43" s="142" t="s">
        <v>131</v>
      </c>
      <c r="D43" s="126" t="s">
        <v>117</v>
      </c>
      <c r="E43" s="131">
        <v>701877</v>
      </c>
      <c r="F43" s="132">
        <v>88565</v>
      </c>
      <c r="G43" s="132">
        <v>295451</v>
      </c>
      <c r="H43" s="132">
        <v>0</v>
      </c>
      <c r="I43" s="132">
        <v>21475</v>
      </c>
      <c r="J43" s="132">
        <v>56933</v>
      </c>
      <c r="K43" s="132">
        <v>150515</v>
      </c>
      <c r="L43" s="132">
        <v>11806</v>
      </c>
      <c r="M43" s="132">
        <v>1840</v>
      </c>
      <c r="N43" s="132">
        <v>14389</v>
      </c>
      <c r="O43" s="132">
        <v>2631</v>
      </c>
      <c r="P43" s="132">
        <v>11890</v>
      </c>
      <c r="Q43" s="132">
        <v>52310</v>
      </c>
      <c r="R43" s="130">
        <f t="shared" si="0"/>
        <v>1409682</v>
      </c>
      <c r="S43" s="123"/>
    </row>
    <row r="44" spans="2:19" ht="22.5" customHeight="1">
      <c r="B44" s="123"/>
      <c r="C44" s="148"/>
      <c r="D44" s="126" t="s">
        <v>119</v>
      </c>
      <c r="E44" s="131">
        <v>806418</v>
      </c>
      <c r="F44" s="132">
        <v>200522</v>
      </c>
      <c r="G44" s="132">
        <v>623483</v>
      </c>
      <c r="H44" s="132">
        <v>0</v>
      </c>
      <c r="I44" s="132">
        <v>113822</v>
      </c>
      <c r="J44" s="132">
        <v>179827</v>
      </c>
      <c r="K44" s="132">
        <v>18791</v>
      </c>
      <c r="L44" s="132">
        <v>72953</v>
      </c>
      <c r="M44" s="132">
        <v>130802</v>
      </c>
      <c r="N44" s="132">
        <v>1631</v>
      </c>
      <c r="O44" s="132">
        <v>12303</v>
      </c>
      <c r="P44" s="132">
        <v>9109</v>
      </c>
      <c r="Q44" s="132">
        <v>106973</v>
      </c>
      <c r="R44" s="130">
        <f t="shared" si="0"/>
        <v>2276634</v>
      </c>
      <c r="S44" s="123"/>
    </row>
    <row r="45" spans="2:19" ht="22.5" customHeight="1">
      <c r="B45" s="125"/>
      <c r="C45" s="148"/>
      <c r="D45" s="126" t="s">
        <v>120</v>
      </c>
      <c r="E45" s="131">
        <v>472195</v>
      </c>
      <c r="F45" s="132">
        <v>260176</v>
      </c>
      <c r="G45" s="132">
        <v>280812</v>
      </c>
      <c r="H45" s="132">
        <v>0</v>
      </c>
      <c r="I45" s="132">
        <v>140116</v>
      </c>
      <c r="J45" s="132">
        <v>513590</v>
      </c>
      <c r="K45" s="132">
        <v>228165</v>
      </c>
      <c r="L45" s="132">
        <v>81755</v>
      </c>
      <c r="M45" s="132">
        <v>283992</v>
      </c>
      <c r="N45" s="132">
        <v>1153</v>
      </c>
      <c r="O45" s="132">
        <v>5311</v>
      </c>
      <c r="P45" s="132">
        <v>4903</v>
      </c>
      <c r="Q45" s="132">
        <v>219667</v>
      </c>
      <c r="R45" s="130">
        <f t="shared" si="0"/>
        <v>2491835</v>
      </c>
      <c r="S45" s="123"/>
    </row>
    <row r="46" spans="2:19" ht="22.5" customHeight="1">
      <c r="B46" s="125" t="s">
        <v>118</v>
      </c>
      <c r="C46" s="148"/>
      <c r="D46" s="126" t="s">
        <v>122</v>
      </c>
      <c r="E46" s="131">
        <v>1270901</v>
      </c>
      <c r="F46" s="132">
        <v>338554</v>
      </c>
      <c r="G46" s="132">
        <v>468188</v>
      </c>
      <c r="H46" s="132">
        <v>0</v>
      </c>
      <c r="I46" s="132">
        <v>223627</v>
      </c>
      <c r="J46" s="132">
        <v>219128</v>
      </c>
      <c r="K46" s="132">
        <v>56907</v>
      </c>
      <c r="L46" s="132">
        <v>46331</v>
      </c>
      <c r="M46" s="132">
        <v>137513</v>
      </c>
      <c r="N46" s="132">
        <v>19503</v>
      </c>
      <c r="O46" s="132">
        <v>33233</v>
      </c>
      <c r="P46" s="132">
        <v>60762</v>
      </c>
      <c r="Q46" s="132">
        <v>185071</v>
      </c>
      <c r="R46" s="130">
        <f t="shared" si="0"/>
        <v>3059718</v>
      </c>
      <c r="S46" s="123"/>
    </row>
    <row r="47" spans="2:19" ht="22.5" customHeight="1">
      <c r="B47" s="123"/>
      <c r="C47" s="142" t="s">
        <v>133</v>
      </c>
      <c r="D47" s="126" t="s">
        <v>123</v>
      </c>
      <c r="E47" s="131">
        <v>953932</v>
      </c>
      <c r="F47" s="132">
        <v>276961</v>
      </c>
      <c r="G47" s="132">
        <v>263858</v>
      </c>
      <c r="H47" s="132">
        <v>0</v>
      </c>
      <c r="I47" s="132">
        <v>177667</v>
      </c>
      <c r="J47" s="132">
        <v>152890</v>
      </c>
      <c r="K47" s="132">
        <v>49569</v>
      </c>
      <c r="L47" s="132">
        <v>22062</v>
      </c>
      <c r="M47" s="132">
        <v>163099</v>
      </c>
      <c r="N47" s="132">
        <v>6636</v>
      </c>
      <c r="O47" s="132">
        <v>18974</v>
      </c>
      <c r="P47" s="132">
        <v>19550</v>
      </c>
      <c r="Q47" s="132">
        <v>115536</v>
      </c>
      <c r="R47" s="130">
        <f t="shared" si="0"/>
        <v>2220734</v>
      </c>
      <c r="S47" s="123"/>
    </row>
    <row r="48" spans="2:19" ht="22.5" customHeight="1">
      <c r="B48" s="123"/>
      <c r="C48" s="142"/>
      <c r="D48" s="148" t="s">
        <v>128</v>
      </c>
      <c r="E48" s="149">
        <v>229066</v>
      </c>
      <c r="F48" s="150">
        <v>170289</v>
      </c>
      <c r="G48" s="150">
        <v>226947</v>
      </c>
      <c r="H48" s="150">
        <v>0</v>
      </c>
      <c r="I48" s="150">
        <v>152319</v>
      </c>
      <c r="J48" s="150">
        <v>211203</v>
      </c>
      <c r="K48" s="150">
        <v>64661</v>
      </c>
      <c r="L48" s="150">
        <v>87610</v>
      </c>
      <c r="M48" s="150">
        <v>50276</v>
      </c>
      <c r="N48" s="150">
        <v>72093</v>
      </c>
      <c r="O48" s="150">
        <v>23323</v>
      </c>
      <c r="P48" s="150">
        <v>88651</v>
      </c>
      <c r="Q48" s="150">
        <v>152411</v>
      </c>
      <c r="R48" s="151">
        <f t="shared" si="0"/>
        <v>1528849</v>
      </c>
      <c r="S48" s="123"/>
    </row>
    <row r="49" spans="2:19" ht="22.5" customHeight="1" thickBot="1">
      <c r="B49" s="124"/>
      <c r="C49" s="157"/>
      <c r="D49" s="158" t="s">
        <v>354</v>
      </c>
      <c r="E49" s="159">
        <f aca="true" t="shared" si="6" ref="E49:P49">E41+E42+E43+E44+E45+E46+E47+E48</f>
        <v>5691522</v>
      </c>
      <c r="F49" s="160">
        <f t="shared" si="6"/>
        <v>1451748</v>
      </c>
      <c r="G49" s="160">
        <f t="shared" si="6"/>
        <v>2283902</v>
      </c>
      <c r="H49" s="160">
        <f t="shared" si="6"/>
        <v>0</v>
      </c>
      <c r="I49" s="160">
        <f t="shared" si="6"/>
        <v>916328</v>
      </c>
      <c r="J49" s="160">
        <f t="shared" si="6"/>
        <v>1463797</v>
      </c>
      <c r="K49" s="160">
        <f t="shared" si="6"/>
        <v>611306</v>
      </c>
      <c r="L49" s="160">
        <f t="shared" si="6"/>
        <v>396234</v>
      </c>
      <c r="M49" s="160">
        <f t="shared" si="6"/>
        <v>866661</v>
      </c>
      <c r="N49" s="160">
        <f t="shared" si="6"/>
        <v>132947</v>
      </c>
      <c r="O49" s="160">
        <f t="shared" si="6"/>
        <v>150902</v>
      </c>
      <c r="P49" s="160">
        <f t="shared" si="6"/>
        <v>261206</v>
      </c>
      <c r="Q49" s="160">
        <f>Q41+Q42+Q43+Q44+Q45+Q46+Q47+Q48</f>
        <v>914830</v>
      </c>
      <c r="R49" s="161">
        <f>SUM(E49:Q49)</f>
        <v>15141383</v>
      </c>
      <c r="S49" s="123"/>
    </row>
  </sheetData>
  <sheetProtection/>
  <mergeCells count="1">
    <mergeCell ref="H6:H7"/>
  </mergeCells>
  <printOptions/>
  <pageMargins left="0.7874015748031497" right="0.3937007874015748" top="0.7086614173228347" bottom="0.5905511811023623" header="0.5118110236220472" footer="0.5118110236220472"/>
  <pageSetup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1:T75"/>
  <sheetViews>
    <sheetView showGridLines="0" showZeros="0" view="pageBreakPreview" zoomScale="58" zoomScaleNormal="65" zoomScaleSheetLayoutView="58" zoomScalePageLayoutView="0" workbookViewId="0" topLeftCell="A1">
      <pane xSplit="4" ySplit="8" topLeftCell="E15" activePane="bottomRight" state="frozen"/>
      <selection pane="topLeft" activeCell="D31" sqref="D31:P31"/>
      <selection pane="topRight" activeCell="D31" sqref="D31:P31"/>
      <selection pane="bottomLeft" activeCell="D31" sqref="D31:P31"/>
      <selection pane="bottomRight" activeCell="H41" sqref="H41:H42"/>
    </sheetView>
  </sheetViews>
  <sheetFormatPr defaultColWidth="8.66015625" defaultRowHeight="18"/>
  <cols>
    <col min="1" max="1" width="1.66015625" style="165" customWidth="1"/>
    <col min="2" max="3" width="2.66015625" style="165" customWidth="1"/>
    <col min="4" max="4" width="26.66015625" style="165" customWidth="1"/>
    <col min="5" max="17" width="13.08203125" style="165" customWidth="1"/>
    <col min="18" max="18" width="13.16015625" style="165" customWidth="1"/>
    <col min="19" max="19" width="1.66015625" style="165" customWidth="1"/>
    <col min="20" max="20" width="2.66015625" style="165" customWidth="1"/>
    <col min="21" max="16384" width="8.66015625" style="165" customWidth="1"/>
  </cols>
  <sheetData>
    <row r="1" ht="18" customHeight="1">
      <c r="B1" s="166" t="s">
        <v>0</v>
      </c>
    </row>
    <row r="2" spans="5:18" ht="18" customHeight="1"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</row>
    <row r="3" spans="2:18" ht="18" customHeight="1" thickBot="1">
      <c r="B3" s="167" t="s">
        <v>134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 t="s">
        <v>135</v>
      </c>
    </row>
    <row r="4" spans="2:19" ht="18" customHeight="1">
      <c r="B4" s="164"/>
      <c r="E4" s="73"/>
      <c r="F4" s="74"/>
      <c r="G4" s="74"/>
      <c r="H4" s="35"/>
      <c r="I4" s="74"/>
      <c r="J4" s="74"/>
      <c r="K4" s="74"/>
      <c r="L4" s="74"/>
      <c r="M4" s="74"/>
      <c r="N4" s="74"/>
      <c r="O4" s="74"/>
      <c r="P4" s="74"/>
      <c r="Q4" s="74"/>
      <c r="R4" s="169"/>
      <c r="S4" s="164"/>
    </row>
    <row r="5" spans="2:19" ht="18" customHeight="1">
      <c r="B5" s="164"/>
      <c r="D5" s="165" t="s">
        <v>136</v>
      </c>
      <c r="E5" s="75" t="s">
        <v>3</v>
      </c>
      <c r="F5" s="76" t="s">
        <v>4</v>
      </c>
      <c r="G5" s="76" t="s">
        <v>5</v>
      </c>
      <c r="H5" s="37" t="s">
        <v>6</v>
      </c>
      <c r="I5" s="76" t="s">
        <v>7</v>
      </c>
      <c r="J5" s="76" t="s">
        <v>8</v>
      </c>
      <c r="K5" s="76" t="s">
        <v>9</v>
      </c>
      <c r="L5" s="76" t="s">
        <v>238</v>
      </c>
      <c r="M5" s="76" t="s">
        <v>239</v>
      </c>
      <c r="N5" s="76" t="s">
        <v>240</v>
      </c>
      <c r="O5" s="76" t="s">
        <v>10</v>
      </c>
      <c r="P5" s="76" t="s">
        <v>241</v>
      </c>
      <c r="Q5" s="76" t="s">
        <v>11</v>
      </c>
      <c r="R5" s="169"/>
      <c r="S5" s="164"/>
    </row>
    <row r="6" spans="2:19" ht="18" customHeight="1">
      <c r="B6" s="164"/>
      <c r="E6" s="73"/>
      <c r="F6" s="74"/>
      <c r="G6" s="74"/>
      <c r="H6" s="502" t="s">
        <v>504</v>
      </c>
      <c r="I6" s="74"/>
      <c r="J6" s="74"/>
      <c r="K6" s="74"/>
      <c r="L6" s="74"/>
      <c r="M6" s="74"/>
      <c r="N6" s="74"/>
      <c r="O6" s="74"/>
      <c r="P6" s="74"/>
      <c r="Q6" s="74"/>
      <c r="R6" s="170" t="s">
        <v>12</v>
      </c>
      <c r="S6" s="164"/>
    </row>
    <row r="7" spans="2:19" ht="18" customHeight="1">
      <c r="B7" s="164"/>
      <c r="C7" s="165" t="s">
        <v>58</v>
      </c>
      <c r="E7" s="73" t="s">
        <v>355</v>
      </c>
      <c r="F7" s="74" t="s">
        <v>355</v>
      </c>
      <c r="G7" s="74"/>
      <c r="H7" s="502"/>
      <c r="I7" s="74"/>
      <c r="J7" s="74"/>
      <c r="K7" s="74" t="s">
        <v>355</v>
      </c>
      <c r="L7" s="77" t="s">
        <v>356</v>
      </c>
      <c r="M7" s="74" t="s">
        <v>357</v>
      </c>
      <c r="N7" s="74" t="s">
        <v>14</v>
      </c>
      <c r="O7" s="74" t="s">
        <v>14</v>
      </c>
      <c r="P7" s="74" t="s">
        <v>358</v>
      </c>
      <c r="Q7" s="74"/>
      <c r="R7" s="169"/>
      <c r="S7" s="164"/>
    </row>
    <row r="8" spans="2:19" ht="18" customHeight="1" thickBot="1">
      <c r="B8" s="171"/>
      <c r="C8" s="167"/>
      <c r="D8" s="167"/>
      <c r="E8" s="118" t="s">
        <v>359</v>
      </c>
      <c r="F8" s="81" t="s">
        <v>360</v>
      </c>
      <c r="G8" s="81" t="s">
        <v>15</v>
      </c>
      <c r="H8" s="433" t="s">
        <v>491</v>
      </c>
      <c r="I8" s="81" t="s">
        <v>319</v>
      </c>
      <c r="J8" s="81" t="s">
        <v>16</v>
      </c>
      <c r="K8" s="81" t="s">
        <v>17</v>
      </c>
      <c r="L8" s="81" t="s">
        <v>318</v>
      </c>
      <c r="M8" s="81" t="s">
        <v>337</v>
      </c>
      <c r="N8" s="81" t="s">
        <v>59</v>
      </c>
      <c r="O8" s="81" t="s">
        <v>60</v>
      </c>
      <c r="P8" s="81" t="s">
        <v>244</v>
      </c>
      <c r="Q8" s="81" t="s">
        <v>18</v>
      </c>
      <c r="R8" s="172"/>
      <c r="S8" s="164"/>
    </row>
    <row r="9" spans="2:19" ht="18" customHeight="1">
      <c r="B9" s="162" t="s">
        <v>301</v>
      </c>
      <c r="C9" s="163"/>
      <c r="D9" s="163"/>
      <c r="E9" s="173">
        <f aca="true" t="shared" si="0" ref="E9:Q9">E10+E15+E16</f>
        <v>16027474</v>
      </c>
      <c r="F9" s="174">
        <f t="shared" si="0"/>
        <v>3080596</v>
      </c>
      <c r="G9" s="174">
        <f t="shared" si="0"/>
        <v>7746055</v>
      </c>
      <c r="H9" s="466" t="s">
        <v>507</v>
      </c>
      <c r="I9" s="174">
        <f t="shared" si="0"/>
        <v>6861036</v>
      </c>
      <c r="J9" s="174">
        <f t="shared" si="0"/>
        <v>3985102</v>
      </c>
      <c r="K9" s="174">
        <f t="shared" si="0"/>
        <v>2908753</v>
      </c>
      <c r="L9" s="175">
        <f t="shared" si="0"/>
        <v>2048526</v>
      </c>
      <c r="M9" s="174">
        <f t="shared" si="0"/>
        <v>3511976</v>
      </c>
      <c r="N9" s="174">
        <f t="shared" si="0"/>
        <v>377962</v>
      </c>
      <c r="O9" s="174">
        <f t="shared" si="0"/>
        <v>989697</v>
      </c>
      <c r="P9" s="174">
        <f t="shared" si="0"/>
        <v>385010</v>
      </c>
      <c r="Q9" s="174">
        <f t="shared" si="0"/>
        <v>5421918</v>
      </c>
      <c r="R9" s="174">
        <f>SUM(E9:Q9)</f>
        <v>53344105</v>
      </c>
      <c r="S9" s="164"/>
    </row>
    <row r="10" spans="2:19" ht="18" customHeight="1">
      <c r="B10" s="164"/>
      <c r="C10" s="176" t="s">
        <v>302</v>
      </c>
      <c r="D10" s="177"/>
      <c r="E10" s="178">
        <f>E11+E12-E13+E14</f>
        <v>15999231</v>
      </c>
      <c r="F10" s="179">
        <f aca="true" t="shared" si="1" ref="F10:Q10">F11+F12-F13+F14</f>
        <v>3058382</v>
      </c>
      <c r="G10" s="179">
        <f t="shared" si="1"/>
        <v>7746055</v>
      </c>
      <c r="H10" s="467" t="s">
        <v>506</v>
      </c>
      <c r="I10" s="179">
        <f t="shared" si="1"/>
        <v>6858256</v>
      </c>
      <c r="J10" s="179">
        <f t="shared" si="1"/>
        <v>3963180</v>
      </c>
      <c r="K10" s="179">
        <v>2601926</v>
      </c>
      <c r="L10" s="179">
        <v>2046704</v>
      </c>
      <c r="M10" s="179">
        <f t="shared" si="1"/>
        <v>3509591</v>
      </c>
      <c r="N10" s="179">
        <v>377808</v>
      </c>
      <c r="O10" s="179">
        <f t="shared" si="1"/>
        <v>989021</v>
      </c>
      <c r="P10" s="179">
        <f t="shared" si="1"/>
        <v>385010</v>
      </c>
      <c r="Q10" s="179">
        <f t="shared" si="1"/>
        <v>4913078</v>
      </c>
      <c r="R10" s="180">
        <f>SUM(E10:Q10)</f>
        <v>52448242</v>
      </c>
      <c r="S10" s="164"/>
    </row>
    <row r="11" spans="2:19" ht="18" customHeight="1">
      <c r="B11" s="164"/>
      <c r="D11" s="177" t="s">
        <v>137</v>
      </c>
      <c r="E11" s="181">
        <v>2761760</v>
      </c>
      <c r="F11" s="182">
        <v>1124709</v>
      </c>
      <c r="G11" s="182">
        <v>890559</v>
      </c>
      <c r="H11" s="468">
        <v>0</v>
      </c>
      <c r="I11" s="182">
        <v>1346497</v>
      </c>
      <c r="J11" s="182">
        <v>398381</v>
      </c>
      <c r="K11" s="182">
        <v>351849</v>
      </c>
      <c r="L11" s="182">
        <v>190408</v>
      </c>
      <c r="M11" s="182">
        <v>502610</v>
      </c>
      <c r="N11" s="182">
        <v>7435</v>
      </c>
      <c r="O11" s="182">
        <v>12954</v>
      </c>
      <c r="P11" s="182">
        <v>38532</v>
      </c>
      <c r="Q11" s="182">
        <v>321824</v>
      </c>
      <c r="R11" s="183">
        <f aca="true" t="shared" si="2" ref="R11:R40">SUM(E11:Q11)</f>
        <v>7947518</v>
      </c>
      <c r="S11" s="164"/>
    </row>
    <row r="12" spans="2:19" ht="18" customHeight="1">
      <c r="B12" s="164"/>
      <c r="D12" s="177" t="s">
        <v>138</v>
      </c>
      <c r="E12" s="181">
        <v>26083309</v>
      </c>
      <c r="F12" s="182">
        <v>9068541</v>
      </c>
      <c r="G12" s="182">
        <v>16094517</v>
      </c>
      <c r="H12" s="468">
        <v>0</v>
      </c>
      <c r="I12" s="182">
        <v>15626875</v>
      </c>
      <c r="J12" s="182">
        <v>8638043</v>
      </c>
      <c r="K12" s="182">
        <v>4739739</v>
      </c>
      <c r="L12" s="182">
        <v>3591342</v>
      </c>
      <c r="M12" s="182">
        <v>7317392</v>
      </c>
      <c r="N12" s="182">
        <v>755561</v>
      </c>
      <c r="O12" s="182">
        <v>1358939</v>
      </c>
      <c r="P12" s="182">
        <v>973291</v>
      </c>
      <c r="Q12" s="182">
        <v>9235084</v>
      </c>
      <c r="R12" s="183">
        <f t="shared" si="2"/>
        <v>103482633</v>
      </c>
      <c r="S12" s="164"/>
    </row>
    <row r="13" spans="2:19" ht="18" customHeight="1">
      <c r="B13" s="164"/>
      <c r="D13" s="177" t="s">
        <v>139</v>
      </c>
      <c r="E13" s="181">
        <v>12945989</v>
      </c>
      <c r="F13" s="182">
        <v>7134868</v>
      </c>
      <c r="G13" s="182">
        <v>9239021</v>
      </c>
      <c r="H13" s="468">
        <v>0</v>
      </c>
      <c r="I13" s="182">
        <v>10115116</v>
      </c>
      <c r="J13" s="182">
        <v>5073244</v>
      </c>
      <c r="K13" s="182">
        <v>2677585</v>
      </c>
      <c r="L13" s="182">
        <v>1735047</v>
      </c>
      <c r="M13" s="182">
        <v>4310411</v>
      </c>
      <c r="N13" s="182">
        <v>385342</v>
      </c>
      <c r="O13" s="182">
        <v>382872</v>
      </c>
      <c r="P13" s="182">
        <v>626813</v>
      </c>
      <c r="Q13" s="182">
        <v>4656211</v>
      </c>
      <c r="R13" s="183">
        <f t="shared" si="2"/>
        <v>59282519</v>
      </c>
      <c r="S13" s="164"/>
    </row>
    <row r="14" spans="2:19" ht="18" customHeight="1">
      <c r="B14" s="164"/>
      <c r="D14" s="177" t="s">
        <v>140</v>
      </c>
      <c r="E14" s="181">
        <v>100151</v>
      </c>
      <c r="F14" s="182">
        <v>0</v>
      </c>
      <c r="G14" s="182">
        <v>0</v>
      </c>
      <c r="H14" s="468">
        <v>0</v>
      </c>
      <c r="I14" s="182"/>
      <c r="J14" s="182">
        <v>0</v>
      </c>
      <c r="K14" s="182">
        <v>187922</v>
      </c>
      <c r="L14" s="182">
        <v>0</v>
      </c>
      <c r="M14" s="182"/>
      <c r="N14" s="182">
        <v>0</v>
      </c>
      <c r="O14" s="182">
        <v>0</v>
      </c>
      <c r="P14" s="182">
        <v>0</v>
      </c>
      <c r="Q14" s="182">
        <v>12381</v>
      </c>
      <c r="R14" s="183">
        <f t="shared" si="2"/>
        <v>300454</v>
      </c>
      <c r="S14" s="164"/>
    </row>
    <row r="15" spans="2:19" ht="18" customHeight="1">
      <c r="B15" s="164"/>
      <c r="C15" s="184" t="s">
        <v>303</v>
      </c>
      <c r="D15" s="163"/>
      <c r="E15" s="185">
        <v>3443</v>
      </c>
      <c r="F15" s="186">
        <v>3563</v>
      </c>
      <c r="G15" s="186">
        <v>0</v>
      </c>
      <c r="H15" s="469">
        <v>0</v>
      </c>
      <c r="I15" s="186">
        <v>2780</v>
      </c>
      <c r="J15" s="186">
        <v>3279</v>
      </c>
      <c r="K15" s="186">
        <v>940</v>
      </c>
      <c r="L15" s="186">
        <v>1822</v>
      </c>
      <c r="M15" s="186">
        <v>2385</v>
      </c>
      <c r="N15" s="186">
        <v>154</v>
      </c>
      <c r="O15" s="186">
        <v>676</v>
      </c>
      <c r="P15" s="186">
        <v>0</v>
      </c>
      <c r="Q15" s="186">
        <v>1240</v>
      </c>
      <c r="R15" s="187">
        <f t="shared" si="2"/>
        <v>20282</v>
      </c>
      <c r="S15" s="164"/>
    </row>
    <row r="16" spans="2:19" ht="18" customHeight="1">
      <c r="B16" s="188"/>
      <c r="C16" s="184" t="s">
        <v>304</v>
      </c>
      <c r="D16" s="163"/>
      <c r="E16" s="173">
        <v>24800</v>
      </c>
      <c r="F16" s="174">
        <v>18651</v>
      </c>
      <c r="G16" s="174">
        <v>0</v>
      </c>
      <c r="H16" s="470">
        <v>0</v>
      </c>
      <c r="I16" s="174">
        <v>0</v>
      </c>
      <c r="J16" s="174">
        <v>18643</v>
      </c>
      <c r="K16" s="174">
        <v>305887</v>
      </c>
      <c r="L16" s="189">
        <v>0</v>
      </c>
      <c r="M16" s="174">
        <v>0</v>
      </c>
      <c r="N16" s="174">
        <v>0</v>
      </c>
      <c r="O16" s="174">
        <v>0</v>
      </c>
      <c r="P16" s="174">
        <v>0</v>
      </c>
      <c r="Q16" s="174">
        <v>507600</v>
      </c>
      <c r="R16" s="174">
        <f t="shared" si="2"/>
        <v>875581</v>
      </c>
      <c r="S16" s="164"/>
    </row>
    <row r="17" spans="2:19" ht="18" customHeight="1">
      <c r="B17" s="162" t="s">
        <v>305</v>
      </c>
      <c r="C17" s="163"/>
      <c r="D17" s="163"/>
      <c r="E17" s="173">
        <v>10143205</v>
      </c>
      <c r="F17" s="174">
        <v>1361017</v>
      </c>
      <c r="G17" s="174">
        <v>1900908</v>
      </c>
      <c r="H17" s="470">
        <v>0</v>
      </c>
      <c r="I17" s="174">
        <v>895903</v>
      </c>
      <c r="J17" s="174">
        <v>1277913</v>
      </c>
      <c r="K17" s="174">
        <v>958794</v>
      </c>
      <c r="L17" s="189">
        <v>207760</v>
      </c>
      <c r="M17" s="174">
        <v>1107978</v>
      </c>
      <c r="N17" s="174">
        <v>357731</v>
      </c>
      <c r="O17" s="174">
        <v>447601</v>
      </c>
      <c r="P17" s="174">
        <v>168272</v>
      </c>
      <c r="Q17" s="174">
        <v>2098750</v>
      </c>
      <c r="R17" s="174">
        <f t="shared" si="2"/>
        <v>20925832</v>
      </c>
      <c r="S17" s="164"/>
    </row>
    <row r="18" spans="2:19" ht="18" customHeight="1">
      <c r="B18" s="164"/>
      <c r="C18" s="163" t="s">
        <v>141</v>
      </c>
      <c r="D18" s="163"/>
      <c r="E18" s="173">
        <v>7206192</v>
      </c>
      <c r="F18" s="174">
        <v>455736</v>
      </c>
      <c r="G18" s="174">
        <v>755045</v>
      </c>
      <c r="H18" s="470">
        <v>0</v>
      </c>
      <c r="I18" s="174">
        <v>24399</v>
      </c>
      <c r="J18" s="174">
        <v>467436</v>
      </c>
      <c r="K18" s="174">
        <v>604491</v>
      </c>
      <c r="L18" s="189">
        <v>30617</v>
      </c>
      <c r="M18" s="174">
        <v>303279</v>
      </c>
      <c r="N18" s="174">
        <v>306492</v>
      </c>
      <c r="O18" s="174">
        <v>356574</v>
      </c>
      <c r="P18" s="174">
        <v>92730</v>
      </c>
      <c r="Q18" s="174">
        <v>1417230</v>
      </c>
      <c r="R18" s="174">
        <f t="shared" si="2"/>
        <v>12020221</v>
      </c>
      <c r="S18" s="164"/>
    </row>
    <row r="19" spans="2:19" ht="18" customHeight="1">
      <c r="B19" s="164"/>
      <c r="C19" s="163" t="s">
        <v>142</v>
      </c>
      <c r="D19" s="163"/>
      <c r="E19" s="173">
        <v>2741929</v>
      </c>
      <c r="F19" s="174">
        <v>883421</v>
      </c>
      <c r="G19" s="174">
        <v>1070088</v>
      </c>
      <c r="H19" s="470">
        <v>0</v>
      </c>
      <c r="I19" s="174">
        <v>852384</v>
      </c>
      <c r="J19" s="174">
        <v>747325</v>
      </c>
      <c r="K19" s="174">
        <v>349700</v>
      </c>
      <c r="L19" s="189">
        <v>170332</v>
      </c>
      <c r="M19" s="174">
        <v>797794</v>
      </c>
      <c r="N19" s="174">
        <v>44565</v>
      </c>
      <c r="O19" s="174">
        <v>89573</v>
      </c>
      <c r="P19" s="174">
        <v>65234</v>
      </c>
      <c r="Q19" s="174">
        <v>672153</v>
      </c>
      <c r="R19" s="174">
        <f t="shared" si="2"/>
        <v>8484498</v>
      </c>
      <c r="S19" s="164"/>
    </row>
    <row r="20" spans="2:19" ht="18" customHeight="1">
      <c r="B20" s="164"/>
      <c r="C20" s="163" t="s">
        <v>143</v>
      </c>
      <c r="D20" s="163"/>
      <c r="E20" s="173"/>
      <c r="F20" s="174">
        <v>21860</v>
      </c>
      <c r="G20" s="174">
        <v>75768</v>
      </c>
      <c r="H20" s="470">
        <v>0</v>
      </c>
      <c r="I20" s="174">
        <v>19120</v>
      </c>
      <c r="J20" s="174">
        <v>63152</v>
      </c>
      <c r="K20" s="174">
        <v>4603</v>
      </c>
      <c r="L20" s="189">
        <v>6811</v>
      </c>
      <c r="M20" s="174">
        <v>6905</v>
      </c>
      <c r="N20" s="174">
        <v>6675</v>
      </c>
      <c r="O20" s="174">
        <v>1454</v>
      </c>
      <c r="P20" s="174"/>
      <c r="Q20" s="174">
        <v>9367</v>
      </c>
      <c r="R20" s="174">
        <f t="shared" si="2"/>
        <v>215715</v>
      </c>
      <c r="S20" s="164"/>
    </row>
    <row r="21" spans="2:19" ht="18" customHeight="1">
      <c r="B21" s="164"/>
      <c r="C21" s="163" t="s">
        <v>144</v>
      </c>
      <c r="D21" s="163"/>
      <c r="E21" s="173">
        <v>0</v>
      </c>
      <c r="F21" s="174">
        <v>0</v>
      </c>
      <c r="G21" s="174">
        <v>0</v>
      </c>
      <c r="H21" s="470">
        <v>0</v>
      </c>
      <c r="I21" s="174">
        <v>0</v>
      </c>
      <c r="J21" s="174">
        <v>0</v>
      </c>
      <c r="K21" s="174">
        <v>0</v>
      </c>
      <c r="L21" s="189">
        <v>0</v>
      </c>
      <c r="M21" s="174">
        <v>0</v>
      </c>
      <c r="N21" s="174">
        <v>0</v>
      </c>
      <c r="O21" s="174">
        <v>0</v>
      </c>
      <c r="P21" s="174">
        <v>0</v>
      </c>
      <c r="Q21" s="174"/>
      <c r="R21" s="174">
        <f t="shared" si="2"/>
        <v>0</v>
      </c>
      <c r="S21" s="164"/>
    </row>
    <row r="22" spans="2:19" ht="18" customHeight="1">
      <c r="B22" s="188"/>
      <c r="C22" s="184" t="s">
        <v>361</v>
      </c>
      <c r="D22" s="163"/>
      <c r="E22" s="173">
        <f>E17-E18-E19-E20-E21</f>
        <v>195084</v>
      </c>
      <c r="F22" s="174">
        <f aca="true" t="shared" si="3" ref="F22:Q22">F17-F18-F19-F20-F21</f>
        <v>0</v>
      </c>
      <c r="G22" s="174">
        <f t="shared" si="3"/>
        <v>7</v>
      </c>
      <c r="H22" s="470">
        <f t="shared" si="3"/>
        <v>0</v>
      </c>
      <c r="I22" s="174">
        <f t="shared" si="3"/>
        <v>0</v>
      </c>
      <c r="J22" s="174">
        <f t="shared" si="3"/>
        <v>0</v>
      </c>
      <c r="K22" s="174">
        <f t="shared" si="3"/>
        <v>0</v>
      </c>
      <c r="L22" s="189">
        <f t="shared" si="3"/>
        <v>0</v>
      </c>
      <c r="M22" s="174">
        <f t="shared" si="3"/>
        <v>0</v>
      </c>
      <c r="N22" s="174"/>
      <c r="O22" s="174">
        <f t="shared" si="3"/>
        <v>0</v>
      </c>
      <c r="P22" s="174">
        <f t="shared" si="3"/>
        <v>10308</v>
      </c>
      <c r="Q22" s="174">
        <f t="shared" si="3"/>
        <v>0</v>
      </c>
      <c r="R22" s="174">
        <f>SUM(E22:Q22)</f>
        <v>205399</v>
      </c>
      <c r="S22" s="164"/>
    </row>
    <row r="23" spans="2:19" ht="18" customHeight="1">
      <c r="B23" s="190" t="s">
        <v>306</v>
      </c>
      <c r="C23" s="163"/>
      <c r="D23" s="163"/>
      <c r="E23" s="173">
        <v>772211</v>
      </c>
      <c r="F23" s="174">
        <v>0</v>
      </c>
      <c r="G23" s="174">
        <v>0</v>
      </c>
      <c r="H23" s="470">
        <v>0</v>
      </c>
      <c r="I23" s="174">
        <v>0</v>
      </c>
      <c r="J23" s="174">
        <v>27836</v>
      </c>
      <c r="K23" s="174">
        <v>20022</v>
      </c>
      <c r="L23" s="189">
        <v>0</v>
      </c>
      <c r="M23" s="174">
        <v>0</v>
      </c>
      <c r="N23" s="174">
        <v>0</v>
      </c>
      <c r="O23" s="174">
        <v>35264</v>
      </c>
      <c r="P23" s="174">
        <v>0</v>
      </c>
      <c r="Q23" s="174">
        <v>89474</v>
      </c>
      <c r="R23" s="174">
        <f t="shared" si="2"/>
        <v>944807</v>
      </c>
      <c r="S23" s="164"/>
    </row>
    <row r="24" spans="2:19" ht="18" customHeight="1">
      <c r="B24" s="188" t="s">
        <v>145</v>
      </c>
      <c r="C24" s="163"/>
      <c r="D24" s="163"/>
      <c r="E24" s="173">
        <f>E9+E17+E23</f>
        <v>26942890</v>
      </c>
      <c r="F24" s="174">
        <f aca="true" t="shared" si="4" ref="F24:Q24">F9+F17+F23</f>
        <v>4441613</v>
      </c>
      <c r="G24" s="174">
        <f>G9+G17+G23</f>
        <v>9646963</v>
      </c>
      <c r="H24" s="470" t="s">
        <v>506</v>
      </c>
      <c r="I24" s="174">
        <f t="shared" si="4"/>
        <v>7756939</v>
      </c>
      <c r="J24" s="174">
        <f t="shared" si="4"/>
        <v>5290851</v>
      </c>
      <c r="K24" s="174">
        <f t="shared" si="4"/>
        <v>3887569</v>
      </c>
      <c r="L24" s="189">
        <f t="shared" si="4"/>
        <v>2256286</v>
      </c>
      <c r="M24" s="174">
        <f t="shared" si="4"/>
        <v>4619954</v>
      </c>
      <c r="N24" s="174">
        <v>735694</v>
      </c>
      <c r="O24" s="174">
        <f t="shared" si="4"/>
        <v>1472562</v>
      </c>
      <c r="P24" s="174">
        <f t="shared" si="4"/>
        <v>553282</v>
      </c>
      <c r="Q24" s="174">
        <f t="shared" si="4"/>
        <v>7610142</v>
      </c>
      <c r="R24" s="174">
        <f>SUM(E24:Q24)</f>
        <v>75214745</v>
      </c>
      <c r="S24" s="164"/>
    </row>
    <row r="25" spans="2:19" ht="18" customHeight="1">
      <c r="B25" s="164" t="s">
        <v>146</v>
      </c>
      <c r="C25" s="163"/>
      <c r="D25" s="163"/>
      <c r="E25" s="173">
        <f>E26+E27+E28+E29+E30</f>
        <v>1463860</v>
      </c>
      <c r="F25" s="174">
        <f aca="true" t="shared" si="5" ref="F25:Q25">F26+F27+F28+F29+F30</f>
        <v>0</v>
      </c>
      <c r="G25" s="174">
        <f t="shared" si="5"/>
        <v>160992</v>
      </c>
      <c r="H25" s="470" t="s">
        <v>506</v>
      </c>
      <c r="I25" s="174">
        <f t="shared" si="5"/>
        <v>999559</v>
      </c>
      <c r="J25" s="174">
        <f t="shared" si="5"/>
        <v>0</v>
      </c>
      <c r="K25" s="174">
        <f t="shared" si="5"/>
        <v>0</v>
      </c>
      <c r="L25" s="189">
        <f t="shared" si="5"/>
        <v>0</v>
      </c>
      <c r="M25" s="174">
        <f t="shared" si="5"/>
        <v>600000</v>
      </c>
      <c r="N25" s="174">
        <f t="shared" si="5"/>
        <v>0</v>
      </c>
      <c r="O25" s="174">
        <f t="shared" si="5"/>
        <v>0</v>
      </c>
      <c r="P25" s="174">
        <f t="shared" si="5"/>
        <v>47500</v>
      </c>
      <c r="Q25" s="174">
        <f t="shared" si="5"/>
        <v>12503</v>
      </c>
      <c r="R25" s="174">
        <f>SUM(E25:Q25)</f>
        <v>3284414</v>
      </c>
      <c r="S25" s="164"/>
    </row>
    <row r="26" spans="2:19" ht="18" customHeight="1">
      <c r="B26" s="164"/>
      <c r="C26" s="163" t="s">
        <v>147</v>
      </c>
      <c r="D26" s="163"/>
      <c r="E26" s="173">
        <v>0</v>
      </c>
      <c r="F26" s="174">
        <v>0</v>
      </c>
      <c r="G26" s="174">
        <v>0</v>
      </c>
      <c r="H26" s="470">
        <v>0</v>
      </c>
      <c r="I26" s="174">
        <v>0</v>
      </c>
      <c r="J26" s="174">
        <v>0</v>
      </c>
      <c r="K26" s="174">
        <v>0</v>
      </c>
      <c r="L26" s="189">
        <v>0</v>
      </c>
      <c r="M26" s="174">
        <v>0</v>
      </c>
      <c r="N26" s="174">
        <v>0</v>
      </c>
      <c r="O26" s="174">
        <v>0</v>
      </c>
      <c r="P26" s="174">
        <v>0</v>
      </c>
      <c r="Q26" s="174">
        <v>0</v>
      </c>
      <c r="R26" s="174">
        <f t="shared" si="2"/>
        <v>0</v>
      </c>
      <c r="S26" s="164"/>
    </row>
    <row r="27" spans="2:19" ht="18" customHeight="1">
      <c r="B27" s="164"/>
      <c r="C27" s="184" t="s">
        <v>432</v>
      </c>
      <c r="D27" s="163"/>
      <c r="E27" s="173">
        <v>0</v>
      </c>
      <c r="F27" s="174">
        <v>0</v>
      </c>
      <c r="G27" s="174">
        <v>0</v>
      </c>
      <c r="H27" s="470">
        <v>0</v>
      </c>
      <c r="I27" s="174">
        <v>293562</v>
      </c>
      <c r="J27" s="174">
        <v>0</v>
      </c>
      <c r="K27" s="174">
        <v>0</v>
      </c>
      <c r="L27" s="189">
        <v>0</v>
      </c>
      <c r="M27" s="174">
        <v>0</v>
      </c>
      <c r="N27" s="174">
        <v>0</v>
      </c>
      <c r="O27" s="174">
        <v>0</v>
      </c>
      <c r="P27" s="174">
        <v>0</v>
      </c>
      <c r="Q27" s="174">
        <v>0</v>
      </c>
      <c r="R27" s="174">
        <f t="shared" si="2"/>
        <v>293562</v>
      </c>
      <c r="S27" s="164"/>
    </row>
    <row r="28" spans="2:19" ht="18" customHeight="1">
      <c r="B28" s="164"/>
      <c r="C28" s="163" t="s">
        <v>148</v>
      </c>
      <c r="D28" s="163"/>
      <c r="E28" s="173">
        <v>0</v>
      </c>
      <c r="F28" s="174">
        <v>0</v>
      </c>
      <c r="G28" s="174">
        <v>0</v>
      </c>
      <c r="H28" s="470">
        <v>0</v>
      </c>
      <c r="I28" s="174">
        <v>650000</v>
      </c>
      <c r="J28" s="174">
        <v>0</v>
      </c>
      <c r="K28" s="174">
        <v>0</v>
      </c>
      <c r="L28" s="189">
        <v>0</v>
      </c>
      <c r="M28" s="174">
        <v>600000</v>
      </c>
      <c r="N28" s="174">
        <v>0</v>
      </c>
      <c r="O28" s="174">
        <v>0</v>
      </c>
      <c r="P28" s="174">
        <v>47500</v>
      </c>
      <c r="Q28" s="174">
        <v>0</v>
      </c>
      <c r="R28" s="174">
        <f t="shared" si="2"/>
        <v>1297500</v>
      </c>
      <c r="S28" s="164"/>
    </row>
    <row r="29" spans="2:19" ht="18" customHeight="1">
      <c r="B29" s="164"/>
      <c r="C29" s="163" t="s">
        <v>149</v>
      </c>
      <c r="D29" s="163"/>
      <c r="E29" s="173">
        <v>1463860</v>
      </c>
      <c r="F29" s="174">
        <v>0</v>
      </c>
      <c r="G29" s="174">
        <v>160992</v>
      </c>
      <c r="H29" s="470">
        <v>0</v>
      </c>
      <c r="I29" s="174">
        <v>55997</v>
      </c>
      <c r="J29" s="174">
        <v>0</v>
      </c>
      <c r="K29" s="174">
        <v>0</v>
      </c>
      <c r="L29" s="189">
        <v>0</v>
      </c>
      <c r="M29" s="174">
        <v>0</v>
      </c>
      <c r="N29" s="174">
        <v>0</v>
      </c>
      <c r="O29" s="174">
        <v>0</v>
      </c>
      <c r="P29" s="174">
        <v>0</v>
      </c>
      <c r="Q29" s="174">
        <v>12503</v>
      </c>
      <c r="R29" s="174">
        <f t="shared" si="2"/>
        <v>1693352</v>
      </c>
      <c r="S29" s="164"/>
    </row>
    <row r="30" spans="2:19" ht="18" customHeight="1">
      <c r="B30" s="188"/>
      <c r="C30" s="163" t="s">
        <v>150</v>
      </c>
      <c r="D30" s="163"/>
      <c r="E30" s="173">
        <v>0</v>
      </c>
      <c r="F30" s="174">
        <v>0</v>
      </c>
      <c r="G30" s="174">
        <v>0</v>
      </c>
      <c r="H30" s="470">
        <v>0</v>
      </c>
      <c r="I30" s="174">
        <v>0</v>
      </c>
      <c r="J30" s="174">
        <v>0</v>
      </c>
      <c r="K30" s="174">
        <v>0</v>
      </c>
      <c r="L30" s="189">
        <v>0</v>
      </c>
      <c r="M30" s="174">
        <v>0</v>
      </c>
      <c r="N30" s="174">
        <v>0</v>
      </c>
      <c r="O30" s="174">
        <v>0</v>
      </c>
      <c r="P30" s="174">
        <v>0</v>
      </c>
      <c r="Q30" s="174">
        <v>0</v>
      </c>
      <c r="R30" s="174">
        <f t="shared" si="2"/>
        <v>0</v>
      </c>
      <c r="S30" s="164"/>
    </row>
    <row r="31" spans="2:19" ht="18" customHeight="1">
      <c r="B31" s="162" t="s">
        <v>307</v>
      </c>
      <c r="C31" s="163"/>
      <c r="D31" s="163"/>
      <c r="E31" s="173">
        <v>1769102</v>
      </c>
      <c r="F31" s="174">
        <v>1198069</v>
      </c>
      <c r="G31" s="174">
        <v>493140</v>
      </c>
      <c r="H31" s="470">
        <v>0</v>
      </c>
      <c r="I31" s="174">
        <v>862786</v>
      </c>
      <c r="J31" s="174">
        <v>737815</v>
      </c>
      <c r="K31" s="174">
        <v>277068</v>
      </c>
      <c r="L31" s="189">
        <v>96889</v>
      </c>
      <c r="M31" s="174">
        <v>885472</v>
      </c>
      <c r="N31" s="174">
        <v>2554</v>
      </c>
      <c r="O31" s="174">
        <v>31559</v>
      </c>
      <c r="P31" s="174">
        <v>20289</v>
      </c>
      <c r="Q31" s="174">
        <v>240478</v>
      </c>
      <c r="R31" s="174">
        <f t="shared" si="2"/>
        <v>6615221</v>
      </c>
      <c r="S31" s="164"/>
    </row>
    <row r="32" spans="2:19" ht="18" customHeight="1">
      <c r="B32" s="164"/>
      <c r="C32" s="163" t="s">
        <v>151</v>
      </c>
      <c r="D32" s="163"/>
      <c r="E32" s="173">
        <v>0</v>
      </c>
      <c r="F32" s="174">
        <v>300000</v>
      </c>
      <c r="G32" s="174">
        <v>0</v>
      </c>
      <c r="H32" s="470">
        <v>0</v>
      </c>
      <c r="I32" s="174">
        <v>410000</v>
      </c>
      <c r="J32" s="174">
        <v>0</v>
      </c>
      <c r="K32" s="174">
        <v>0</v>
      </c>
      <c r="L32" s="189">
        <v>50000</v>
      </c>
      <c r="M32" s="174">
        <v>0</v>
      </c>
      <c r="N32" s="174">
        <v>0</v>
      </c>
      <c r="O32" s="174">
        <v>0</v>
      </c>
      <c r="P32" s="174">
        <v>0</v>
      </c>
      <c r="Q32" s="174">
        <v>0</v>
      </c>
      <c r="R32" s="174">
        <f t="shared" si="2"/>
        <v>760000</v>
      </c>
      <c r="S32" s="164"/>
    </row>
    <row r="33" spans="2:19" ht="18" customHeight="1">
      <c r="B33" s="164"/>
      <c r="C33" s="163" t="s">
        <v>152</v>
      </c>
      <c r="D33" s="163"/>
      <c r="E33" s="173">
        <v>1707081</v>
      </c>
      <c r="F33" s="174">
        <v>895999</v>
      </c>
      <c r="G33" s="174">
        <v>470960</v>
      </c>
      <c r="H33" s="470">
        <v>0</v>
      </c>
      <c r="I33" s="174">
        <v>439926</v>
      </c>
      <c r="J33" s="174">
        <v>708963</v>
      </c>
      <c r="K33" s="174">
        <v>275808</v>
      </c>
      <c r="L33" s="189">
        <v>42724</v>
      </c>
      <c r="M33" s="174">
        <v>885013</v>
      </c>
      <c r="N33" s="174">
        <v>2554</v>
      </c>
      <c r="O33" s="174">
        <v>31254</v>
      </c>
      <c r="P33" s="174">
        <v>15688</v>
      </c>
      <c r="Q33" s="174">
        <v>230133</v>
      </c>
      <c r="R33" s="174">
        <f t="shared" si="2"/>
        <v>5706103</v>
      </c>
      <c r="S33" s="164"/>
    </row>
    <row r="34" spans="2:19" ht="18" customHeight="1">
      <c r="B34" s="188"/>
      <c r="C34" s="163" t="s">
        <v>153</v>
      </c>
      <c r="D34" s="163"/>
      <c r="E34" s="173">
        <v>62021</v>
      </c>
      <c r="F34" s="174">
        <v>2070</v>
      </c>
      <c r="G34" s="174">
        <v>22180</v>
      </c>
      <c r="H34" s="470">
        <v>0</v>
      </c>
      <c r="I34" s="174">
        <v>12860</v>
      </c>
      <c r="J34" s="174">
        <v>28852</v>
      </c>
      <c r="K34" s="174">
        <v>1260</v>
      </c>
      <c r="L34" s="189">
        <v>4165</v>
      </c>
      <c r="M34" s="174">
        <v>459</v>
      </c>
      <c r="N34" s="174"/>
      <c r="O34" s="174">
        <v>305</v>
      </c>
      <c r="P34" s="174">
        <v>4601</v>
      </c>
      <c r="Q34" s="174">
        <v>10345</v>
      </c>
      <c r="R34" s="174">
        <f t="shared" si="2"/>
        <v>149118</v>
      </c>
      <c r="S34" s="164"/>
    </row>
    <row r="35" spans="2:19" ht="18" customHeight="1">
      <c r="B35" s="188" t="s">
        <v>154</v>
      </c>
      <c r="C35" s="163"/>
      <c r="D35" s="163"/>
      <c r="E35" s="173">
        <f>E25+E31</f>
        <v>3232962</v>
      </c>
      <c r="F35" s="174">
        <f aca="true" t="shared" si="6" ref="F35:Q35">F25+F31</f>
        <v>1198069</v>
      </c>
      <c r="G35" s="174">
        <f t="shared" si="6"/>
        <v>654132</v>
      </c>
      <c r="H35" s="470" t="s">
        <v>506</v>
      </c>
      <c r="I35" s="174">
        <f t="shared" si="6"/>
        <v>1862345</v>
      </c>
      <c r="J35" s="174">
        <f t="shared" si="6"/>
        <v>737815</v>
      </c>
      <c r="K35" s="174">
        <f t="shared" si="6"/>
        <v>277068</v>
      </c>
      <c r="L35" s="189">
        <f t="shared" si="6"/>
        <v>96889</v>
      </c>
      <c r="M35" s="174">
        <f t="shared" si="6"/>
        <v>1485472</v>
      </c>
      <c r="N35" s="174">
        <f t="shared" si="6"/>
        <v>2554</v>
      </c>
      <c r="O35" s="174">
        <f t="shared" si="6"/>
        <v>31559</v>
      </c>
      <c r="P35" s="174">
        <f t="shared" si="6"/>
        <v>67789</v>
      </c>
      <c r="Q35" s="174">
        <f t="shared" si="6"/>
        <v>252981</v>
      </c>
      <c r="R35" s="174">
        <f t="shared" si="2"/>
        <v>9899635</v>
      </c>
      <c r="S35" s="164"/>
    </row>
    <row r="36" spans="2:19" ht="18" customHeight="1">
      <c r="B36" s="164" t="s">
        <v>155</v>
      </c>
      <c r="C36" s="163"/>
      <c r="D36" s="163"/>
      <c r="E36" s="173">
        <f>E37+E42</f>
        <v>24428582</v>
      </c>
      <c r="F36" s="174">
        <f aca="true" t="shared" si="7" ref="F36:Q36">F37+F42</f>
        <v>943950</v>
      </c>
      <c r="G36" s="174">
        <f t="shared" si="7"/>
        <v>12485392</v>
      </c>
      <c r="H36" s="470" t="s">
        <v>506</v>
      </c>
      <c r="I36" s="174">
        <f t="shared" si="7"/>
        <v>13399242</v>
      </c>
      <c r="J36" s="174">
        <f t="shared" si="7"/>
        <v>3823619</v>
      </c>
      <c r="K36" s="174">
        <f t="shared" si="7"/>
        <v>3818099</v>
      </c>
      <c r="L36" s="189">
        <f t="shared" si="7"/>
        <v>1652582</v>
      </c>
      <c r="M36" s="174">
        <f t="shared" si="7"/>
        <v>1967121</v>
      </c>
      <c r="N36" s="174">
        <f t="shared" si="7"/>
        <v>150115</v>
      </c>
      <c r="O36" s="174">
        <f t="shared" si="7"/>
        <v>685194</v>
      </c>
      <c r="P36" s="174">
        <f t="shared" si="7"/>
        <v>308504</v>
      </c>
      <c r="Q36" s="174">
        <f t="shared" si="7"/>
        <v>3794272</v>
      </c>
      <c r="R36" s="174">
        <f t="shared" si="2"/>
        <v>67456672</v>
      </c>
      <c r="S36" s="164"/>
    </row>
    <row r="37" spans="2:19" ht="18" customHeight="1">
      <c r="B37" s="164"/>
      <c r="C37" s="176" t="s">
        <v>308</v>
      </c>
      <c r="D37" s="177"/>
      <c r="E37" s="191">
        <f>E38+E39+E40+E41</f>
        <v>15790823</v>
      </c>
      <c r="F37" s="192">
        <f aca="true" t="shared" si="8" ref="F37:Q37">F38+F39+F40+F41</f>
        <v>510318</v>
      </c>
      <c r="G37" s="192">
        <f t="shared" si="8"/>
        <v>5496241</v>
      </c>
      <c r="H37" s="471" t="s">
        <v>506</v>
      </c>
      <c r="I37" s="192">
        <f t="shared" si="8"/>
        <v>5740479</v>
      </c>
      <c r="J37" s="192">
        <f t="shared" si="8"/>
        <v>200856</v>
      </c>
      <c r="K37" s="192">
        <f t="shared" si="8"/>
        <v>3382381</v>
      </c>
      <c r="L37" s="179">
        <f t="shared" si="8"/>
        <v>350796</v>
      </c>
      <c r="M37" s="192">
        <f t="shared" si="8"/>
        <v>168333</v>
      </c>
      <c r="N37" s="192">
        <f t="shared" si="8"/>
        <v>6224</v>
      </c>
      <c r="O37" s="192">
        <f t="shared" si="8"/>
        <v>15863</v>
      </c>
      <c r="P37" s="192">
        <f t="shared" si="8"/>
        <v>9110</v>
      </c>
      <c r="Q37" s="192">
        <f t="shared" si="8"/>
        <v>906775</v>
      </c>
      <c r="R37" s="192">
        <f t="shared" si="2"/>
        <v>32578199</v>
      </c>
      <c r="S37" s="164"/>
    </row>
    <row r="38" spans="2:19" ht="18" customHeight="1">
      <c r="B38" s="164"/>
      <c r="D38" s="177" t="s">
        <v>156</v>
      </c>
      <c r="E38" s="191">
        <v>110619</v>
      </c>
      <c r="F38" s="192">
        <v>78266</v>
      </c>
      <c r="G38" s="192">
        <v>40021</v>
      </c>
      <c r="H38" s="471">
        <v>0</v>
      </c>
      <c r="I38" s="192">
        <v>257318</v>
      </c>
      <c r="J38" s="192">
        <v>5586</v>
      </c>
      <c r="K38" s="192">
        <v>2908028</v>
      </c>
      <c r="L38" s="182">
        <v>55585</v>
      </c>
      <c r="M38" s="192">
        <v>49204</v>
      </c>
      <c r="N38" s="192">
        <v>6224</v>
      </c>
      <c r="O38" s="192">
        <v>15863</v>
      </c>
      <c r="P38" s="192">
        <v>9110</v>
      </c>
      <c r="Q38" s="192">
        <v>47194</v>
      </c>
      <c r="R38" s="192">
        <f t="shared" si="2"/>
        <v>3583018</v>
      </c>
      <c r="S38" s="164"/>
    </row>
    <row r="39" spans="2:19" ht="18" customHeight="1">
      <c r="B39" s="164"/>
      <c r="D39" s="177" t="s">
        <v>157</v>
      </c>
      <c r="E39" s="191">
        <v>0</v>
      </c>
      <c r="F39" s="192">
        <v>0</v>
      </c>
      <c r="G39" s="192">
        <v>0</v>
      </c>
      <c r="H39" s="471">
        <v>0</v>
      </c>
      <c r="I39" s="192">
        <v>0</v>
      </c>
      <c r="J39" s="192">
        <v>0</v>
      </c>
      <c r="K39" s="192">
        <v>0</v>
      </c>
      <c r="L39" s="182">
        <v>0</v>
      </c>
      <c r="M39" s="192">
        <v>0</v>
      </c>
      <c r="N39" s="192">
        <v>0</v>
      </c>
      <c r="O39" s="192">
        <v>0</v>
      </c>
      <c r="P39" s="192">
        <v>0</v>
      </c>
      <c r="Q39" s="192">
        <v>29</v>
      </c>
      <c r="R39" s="192">
        <f t="shared" si="2"/>
        <v>29</v>
      </c>
      <c r="S39" s="164"/>
    </row>
    <row r="40" spans="2:19" ht="18" customHeight="1">
      <c r="B40" s="164"/>
      <c r="D40" s="177" t="s">
        <v>158</v>
      </c>
      <c r="E40" s="191">
        <v>15633904</v>
      </c>
      <c r="F40" s="192">
        <v>276000</v>
      </c>
      <c r="G40" s="192">
        <v>5403328</v>
      </c>
      <c r="H40" s="471">
        <v>0</v>
      </c>
      <c r="I40" s="192">
        <v>5473674</v>
      </c>
      <c r="J40" s="192">
        <v>195070</v>
      </c>
      <c r="K40" s="192">
        <v>387064</v>
      </c>
      <c r="L40" s="182">
        <v>293011</v>
      </c>
      <c r="M40" s="192">
        <v>19129</v>
      </c>
      <c r="N40" s="192">
        <v>0</v>
      </c>
      <c r="O40" s="192">
        <v>0</v>
      </c>
      <c r="P40" s="192">
        <v>0</v>
      </c>
      <c r="Q40" s="192">
        <v>705058</v>
      </c>
      <c r="R40" s="192">
        <f t="shared" si="2"/>
        <v>28386238</v>
      </c>
      <c r="S40" s="164"/>
    </row>
    <row r="41" spans="2:19" ht="18" customHeight="1">
      <c r="B41" s="164"/>
      <c r="C41" s="163"/>
      <c r="D41" s="163" t="s">
        <v>159</v>
      </c>
      <c r="E41" s="173">
        <v>46300</v>
      </c>
      <c r="F41" s="174">
        <v>156052</v>
      </c>
      <c r="G41" s="174">
        <v>52892</v>
      </c>
      <c r="H41" s="470">
        <v>0</v>
      </c>
      <c r="I41" s="174">
        <v>9487</v>
      </c>
      <c r="J41" s="174">
        <v>200</v>
      </c>
      <c r="K41" s="174">
        <v>87289</v>
      </c>
      <c r="L41" s="186">
        <v>2200</v>
      </c>
      <c r="M41" s="174">
        <v>100000</v>
      </c>
      <c r="N41" s="174">
        <v>0</v>
      </c>
      <c r="O41" s="174">
        <v>0</v>
      </c>
      <c r="P41" s="174">
        <v>0</v>
      </c>
      <c r="Q41" s="174">
        <v>154494</v>
      </c>
      <c r="R41" s="174">
        <f aca="true" t="shared" si="9" ref="R41:R62">SUM(E41:Q41)</f>
        <v>608914</v>
      </c>
      <c r="S41" s="164"/>
    </row>
    <row r="42" spans="2:19" ht="18" customHeight="1">
      <c r="B42" s="164"/>
      <c r="C42" s="176" t="s">
        <v>309</v>
      </c>
      <c r="D42" s="177"/>
      <c r="E42" s="191">
        <f>E43+E44</f>
        <v>8637759</v>
      </c>
      <c r="F42" s="192">
        <f aca="true" t="shared" si="10" ref="F42:Q42">F43+F44</f>
        <v>433632</v>
      </c>
      <c r="G42" s="192">
        <f t="shared" si="10"/>
        <v>6989151</v>
      </c>
      <c r="H42" s="471" t="s">
        <v>506</v>
      </c>
      <c r="I42" s="192">
        <f t="shared" si="10"/>
        <v>7658763</v>
      </c>
      <c r="J42" s="192">
        <f t="shared" si="10"/>
        <v>3622763</v>
      </c>
      <c r="K42" s="192">
        <f t="shared" si="10"/>
        <v>435718</v>
      </c>
      <c r="L42" s="179">
        <f t="shared" si="10"/>
        <v>1301786</v>
      </c>
      <c r="M42" s="192">
        <f t="shared" si="10"/>
        <v>1798788</v>
      </c>
      <c r="N42" s="192">
        <f t="shared" si="10"/>
        <v>143891</v>
      </c>
      <c r="O42" s="192">
        <f t="shared" si="10"/>
        <v>669331</v>
      </c>
      <c r="P42" s="192">
        <f t="shared" si="10"/>
        <v>299394</v>
      </c>
      <c r="Q42" s="192">
        <f t="shared" si="10"/>
        <v>2887497</v>
      </c>
      <c r="R42" s="192">
        <f t="shared" si="9"/>
        <v>34878473</v>
      </c>
      <c r="S42" s="164"/>
    </row>
    <row r="43" spans="2:19" ht="18" customHeight="1">
      <c r="B43" s="164"/>
      <c r="D43" s="177" t="s">
        <v>160</v>
      </c>
      <c r="E43" s="191">
        <v>8637759</v>
      </c>
      <c r="F43" s="192">
        <v>433632</v>
      </c>
      <c r="G43" s="192">
        <v>6989151</v>
      </c>
      <c r="H43" s="471">
        <v>0</v>
      </c>
      <c r="I43" s="192">
        <v>7658763</v>
      </c>
      <c r="J43" s="192">
        <v>3622763</v>
      </c>
      <c r="K43" s="192">
        <v>435718</v>
      </c>
      <c r="L43" s="182">
        <v>1301786</v>
      </c>
      <c r="M43" s="192">
        <v>1798788</v>
      </c>
      <c r="N43" s="192">
        <v>143891</v>
      </c>
      <c r="O43" s="192">
        <v>669331</v>
      </c>
      <c r="P43" s="192">
        <v>299394</v>
      </c>
      <c r="Q43" s="192">
        <v>2887497</v>
      </c>
      <c r="R43" s="192">
        <f t="shared" si="9"/>
        <v>34878473</v>
      </c>
      <c r="S43" s="164"/>
    </row>
    <row r="44" spans="2:19" ht="18" customHeight="1">
      <c r="B44" s="188"/>
      <c r="C44" s="163"/>
      <c r="D44" s="163" t="s">
        <v>161</v>
      </c>
      <c r="E44" s="173">
        <v>0</v>
      </c>
      <c r="F44" s="174">
        <v>0</v>
      </c>
      <c r="G44" s="174">
        <v>0</v>
      </c>
      <c r="H44" s="470">
        <v>0</v>
      </c>
      <c r="I44" s="174">
        <v>0</v>
      </c>
      <c r="J44" s="174">
        <v>0</v>
      </c>
      <c r="K44" s="174">
        <v>0</v>
      </c>
      <c r="L44" s="186">
        <v>0</v>
      </c>
      <c r="M44" s="174">
        <v>0</v>
      </c>
      <c r="N44" s="174">
        <v>0</v>
      </c>
      <c r="O44" s="174">
        <v>0</v>
      </c>
      <c r="P44" s="174">
        <v>0</v>
      </c>
      <c r="Q44" s="174">
        <v>0</v>
      </c>
      <c r="R44" s="174">
        <f t="shared" si="9"/>
        <v>0</v>
      </c>
      <c r="S44" s="164"/>
    </row>
    <row r="45" spans="2:19" ht="18" customHeight="1">
      <c r="B45" s="162" t="s">
        <v>310</v>
      </c>
      <c r="C45" s="163"/>
      <c r="D45" s="163"/>
      <c r="E45" s="173">
        <f>E46+E52</f>
        <v>-718654</v>
      </c>
      <c r="F45" s="174">
        <f aca="true" t="shared" si="11" ref="F45:Q45">F46+F52</f>
        <v>2299594</v>
      </c>
      <c r="G45" s="174">
        <f t="shared" si="11"/>
        <v>-3492561</v>
      </c>
      <c r="H45" s="470" t="s">
        <v>506</v>
      </c>
      <c r="I45" s="174">
        <f t="shared" si="11"/>
        <v>-7504648</v>
      </c>
      <c r="J45" s="174">
        <f t="shared" si="11"/>
        <v>729417</v>
      </c>
      <c r="K45" s="174">
        <f t="shared" si="11"/>
        <v>-207598</v>
      </c>
      <c r="L45" s="189">
        <f t="shared" si="11"/>
        <v>506815</v>
      </c>
      <c r="M45" s="174">
        <f t="shared" si="11"/>
        <v>1167361</v>
      </c>
      <c r="N45" s="174">
        <f t="shared" si="11"/>
        <v>583025</v>
      </c>
      <c r="O45" s="174">
        <f t="shared" si="11"/>
        <v>755809</v>
      </c>
      <c r="P45" s="174">
        <f t="shared" si="11"/>
        <v>176989</v>
      </c>
      <c r="Q45" s="174">
        <f t="shared" si="11"/>
        <v>3562889</v>
      </c>
      <c r="R45" s="174">
        <f t="shared" si="9"/>
        <v>-2141562</v>
      </c>
      <c r="S45" s="164"/>
    </row>
    <row r="46" spans="2:19" ht="18" customHeight="1">
      <c r="B46" s="164"/>
      <c r="C46" s="176" t="s">
        <v>311</v>
      </c>
      <c r="D46" s="177"/>
      <c r="E46" s="191">
        <f>E47+E48+E49+E50+E51</f>
        <v>1248852</v>
      </c>
      <c r="F46" s="192">
        <f aca="true" t="shared" si="12" ref="F46:Q46">F47+F48+F49+F50+F51</f>
        <v>5946596</v>
      </c>
      <c r="G46" s="192">
        <f t="shared" si="12"/>
        <v>3798724</v>
      </c>
      <c r="H46" s="471" t="s">
        <v>506</v>
      </c>
      <c r="I46" s="192">
        <f t="shared" si="12"/>
        <v>2088541</v>
      </c>
      <c r="J46" s="192">
        <f t="shared" si="12"/>
        <v>5205169</v>
      </c>
      <c r="K46" s="192">
        <f t="shared" si="12"/>
        <v>25659</v>
      </c>
      <c r="L46" s="179">
        <f t="shared" si="12"/>
        <v>1004266</v>
      </c>
      <c r="M46" s="192">
        <f t="shared" si="12"/>
        <v>4349542</v>
      </c>
      <c r="N46" s="192">
        <f t="shared" si="12"/>
        <v>635063</v>
      </c>
      <c r="O46" s="192">
        <f t="shared" si="12"/>
        <v>682162</v>
      </c>
      <c r="P46" s="192">
        <f t="shared" si="12"/>
        <v>1167625</v>
      </c>
      <c r="Q46" s="192">
        <f t="shared" si="12"/>
        <v>3737519</v>
      </c>
      <c r="R46" s="192">
        <f t="shared" si="9"/>
        <v>29889718</v>
      </c>
      <c r="S46" s="164"/>
    </row>
    <row r="47" spans="2:19" ht="18" customHeight="1">
      <c r="B47" s="164"/>
      <c r="D47" s="177" t="s">
        <v>162</v>
      </c>
      <c r="E47" s="191">
        <v>282917</v>
      </c>
      <c r="F47" s="192">
        <v>102949</v>
      </c>
      <c r="G47" s="192">
        <v>44404</v>
      </c>
      <c r="H47" s="471">
        <v>0</v>
      </c>
      <c r="I47" s="192">
        <v>0</v>
      </c>
      <c r="J47" s="192">
        <v>446797</v>
      </c>
      <c r="K47" s="192">
        <v>22522</v>
      </c>
      <c r="L47" s="182">
        <v>65174</v>
      </c>
      <c r="M47" s="192">
        <v>198255</v>
      </c>
      <c r="N47" s="192">
        <v>111903</v>
      </c>
      <c r="O47" s="192">
        <v>15684</v>
      </c>
      <c r="P47" s="192">
        <v>117877</v>
      </c>
      <c r="Q47" s="192">
        <v>508073</v>
      </c>
      <c r="R47" s="192">
        <f t="shared" si="9"/>
        <v>1916555</v>
      </c>
      <c r="S47" s="164"/>
    </row>
    <row r="48" spans="2:19" ht="18" customHeight="1">
      <c r="B48" s="164"/>
      <c r="D48" s="193" t="s">
        <v>280</v>
      </c>
      <c r="E48" s="191">
        <v>86556</v>
      </c>
      <c r="F48" s="192">
        <v>16190</v>
      </c>
      <c r="G48" s="192">
        <v>21244</v>
      </c>
      <c r="H48" s="471">
        <v>0</v>
      </c>
      <c r="I48" s="192">
        <v>769103</v>
      </c>
      <c r="J48" s="192">
        <v>379848</v>
      </c>
      <c r="K48" s="192">
        <v>0</v>
      </c>
      <c r="L48" s="182">
        <v>0</v>
      </c>
      <c r="M48" s="192">
        <v>486987</v>
      </c>
      <c r="N48" s="192">
        <v>30963</v>
      </c>
      <c r="O48" s="192">
        <v>0</v>
      </c>
      <c r="P48" s="192">
        <v>101770</v>
      </c>
      <c r="Q48" s="192">
        <v>66654</v>
      </c>
      <c r="R48" s="192">
        <f t="shared" si="9"/>
        <v>1959315</v>
      </c>
      <c r="S48" s="164"/>
    </row>
    <row r="49" spans="2:19" ht="18" customHeight="1">
      <c r="B49" s="164"/>
      <c r="D49" s="177" t="s">
        <v>163</v>
      </c>
      <c r="E49" s="191">
        <v>0</v>
      </c>
      <c r="F49" s="192">
        <v>53395</v>
      </c>
      <c r="G49" s="192">
        <v>0</v>
      </c>
      <c r="H49" s="471">
        <v>0</v>
      </c>
      <c r="I49" s="192">
        <v>0</v>
      </c>
      <c r="J49" s="192">
        <v>0</v>
      </c>
      <c r="K49" s="192">
        <v>0</v>
      </c>
      <c r="L49" s="182">
        <v>0</v>
      </c>
      <c r="M49" s="192">
        <v>0</v>
      </c>
      <c r="N49" s="192">
        <v>0</v>
      </c>
      <c r="O49" s="192">
        <v>0</v>
      </c>
      <c r="P49" s="192">
        <v>0</v>
      </c>
      <c r="Q49" s="192">
        <v>0</v>
      </c>
      <c r="R49" s="192">
        <f t="shared" si="9"/>
        <v>53395</v>
      </c>
      <c r="S49" s="164"/>
    </row>
    <row r="50" spans="2:19" ht="18" customHeight="1">
      <c r="B50" s="164"/>
      <c r="D50" s="177" t="s">
        <v>164</v>
      </c>
      <c r="E50" s="191">
        <v>0</v>
      </c>
      <c r="F50" s="192">
        <v>0</v>
      </c>
      <c r="G50" s="192">
        <v>0</v>
      </c>
      <c r="H50" s="471">
        <v>0</v>
      </c>
      <c r="I50" s="192">
        <v>0</v>
      </c>
      <c r="J50" s="192">
        <v>0</v>
      </c>
      <c r="K50" s="192">
        <v>0</v>
      </c>
      <c r="L50" s="182">
        <v>0</v>
      </c>
      <c r="M50" s="192">
        <v>0</v>
      </c>
      <c r="N50" s="192">
        <v>0</v>
      </c>
      <c r="O50" s="192">
        <v>0</v>
      </c>
      <c r="P50" s="192">
        <v>0</v>
      </c>
      <c r="Q50" s="192">
        <v>0</v>
      </c>
      <c r="R50" s="192">
        <f t="shared" si="9"/>
        <v>0</v>
      </c>
      <c r="S50" s="164"/>
    </row>
    <row r="51" spans="2:19" ht="18" customHeight="1">
      <c r="B51" s="164"/>
      <c r="C51" s="163"/>
      <c r="D51" s="163" t="s">
        <v>165</v>
      </c>
      <c r="E51" s="173">
        <v>879379</v>
      </c>
      <c r="F51" s="174">
        <v>5774062</v>
      </c>
      <c r="G51" s="174">
        <v>3733076</v>
      </c>
      <c r="H51" s="470">
        <v>0</v>
      </c>
      <c r="I51" s="174">
        <v>1319438</v>
      </c>
      <c r="J51" s="174">
        <v>4378524</v>
      </c>
      <c r="K51" s="174">
        <v>3137</v>
      </c>
      <c r="L51" s="186">
        <v>939092</v>
      </c>
      <c r="M51" s="174">
        <v>3664300</v>
      </c>
      <c r="N51" s="174">
        <v>492197</v>
      </c>
      <c r="O51" s="174">
        <v>666478</v>
      </c>
      <c r="P51" s="174">
        <v>947978</v>
      </c>
      <c r="Q51" s="174">
        <v>3162792</v>
      </c>
      <c r="R51" s="174">
        <f t="shared" si="9"/>
        <v>25960453</v>
      </c>
      <c r="S51" s="164"/>
    </row>
    <row r="52" spans="2:19" ht="18" customHeight="1">
      <c r="B52" s="164"/>
      <c r="C52" s="176" t="s">
        <v>312</v>
      </c>
      <c r="D52" s="177"/>
      <c r="E52" s="191">
        <f>E53+E54+E55+E56+E57-E58</f>
        <v>-1967506</v>
      </c>
      <c r="F52" s="192">
        <f aca="true" t="shared" si="13" ref="F52:Q52">F53+F54+F55+F56+F57-F58</f>
        <v>-3647002</v>
      </c>
      <c r="G52" s="192">
        <f t="shared" si="13"/>
        <v>-7291285</v>
      </c>
      <c r="H52" s="471" t="s">
        <v>506</v>
      </c>
      <c r="I52" s="192">
        <f t="shared" si="13"/>
        <v>-9593189</v>
      </c>
      <c r="J52" s="192">
        <f t="shared" si="13"/>
        <v>-4475752</v>
      </c>
      <c r="K52" s="192">
        <f t="shared" si="13"/>
        <v>-233257</v>
      </c>
      <c r="L52" s="179">
        <f t="shared" si="13"/>
        <v>-497451</v>
      </c>
      <c r="M52" s="192">
        <f t="shared" si="13"/>
        <v>-3182181</v>
      </c>
      <c r="N52" s="192">
        <f t="shared" si="13"/>
        <v>-52038</v>
      </c>
      <c r="O52" s="192">
        <f t="shared" si="13"/>
        <v>73647</v>
      </c>
      <c r="P52" s="192">
        <f t="shared" si="13"/>
        <v>-990636</v>
      </c>
      <c r="Q52" s="192">
        <f t="shared" si="13"/>
        <v>-174630</v>
      </c>
      <c r="R52" s="192">
        <f t="shared" si="9"/>
        <v>-32031280</v>
      </c>
      <c r="S52" s="164"/>
    </row>
    <row r="53" spans="2:19" ht="18" customHeight="1">
      <c r="B53" s="164"/>
      <c r="D53" s="177" t="s">
        <v>166</v>
      </c>
      <c r="E53" s="191">
        <v>0</v>
      </c>
      <c r="F53" s="192">
        <v>0</v>
      </c>
      <c r="G53" s="192">
        <v>0</v>
      </c>
      <c r="H53" s="471">
        <v>0</v>
      </c>
      <c r="I53" s="192">
        <v>0</v>
      </c>
      <c r="J53" s="192">
        <v>0</v>
      </c>
      <c r="K53" s="192">
        <v>0</v>
      </c>
      <c r="L53" s="182">
        <v>0</v>
      </c>
      <c r="M53" s="192">
        <v>10213</v>
      </c>
      <c r="N53" s="192">
        <v>10615</v>
      </c>
      <c r="O53" s="192">
        <v>30000</v>
      </c>
      <c r="P53" s="192">
        <v>0</v>
      </c>
      <c r="Q53" s="192">
        <v>104</v>
      </c>
      <c r="R53" s="192">
        <f t="shared" si="9"/>
        <v>50932</v>
      </c>
      <c r="S53" s="164"/>
    </row>
    <row r="54" spans="2:19" ht="18" customHeight="1">
      <c r="B54" s="164"/>
      <c r="D54" s="177" t="s">
        <v>167</v>
      </c>
      <c r="E54" s="191">
        <v>0</v>
      </c>
      <c r="F54" s="192">
        <v>0</v>
      </c>
      <c r="G54" s="192">
        <v>0</v>
      </c>
      <c r="H54" s="471">
        <v>0</v>
      </c>
      <c r="I54" s="192">
        <v>0</v>
      </c>
      <c r="J54" s="192">
        <v>0</v>
      </c>
      <c r="K54" s="192">
        <v>0</v>
      </c>
      <c r="L54" s="182">
        <v>0</v>
      </c>
      <c r="M54" s="192">
        <v>0</v>
      </c>
      <c r="N54" s="192">
        <v>0</v>
      </c>
      <c r="O54" s="192">
        <v>0</v>
      </c>
      <c r="P54" s="192">
        <v>0</v>
      </c>
      <c r="Q54" s="192">
        <v>0</v>
      </c>
      <c r="R54" s="192">
        <f t="shared" si="9"/>
        <v>0</v>
      </c>
      <c r="S54" s="164"/>
    </row>
    <row r="55" spans="2:19" ht="18" customHeight="1">
      <c r="B55" s="164"/>
      <c r="D55" s="177" t="s">
        <v>168</v>
      </c>
      <c r="E55" s="191">
        <v>0</v>
      </c>
      <c r="F55" s="192">
        <v>0</v>
      </c>
      <c r="G55" s="192">
        <v>0</v>
      </c>
      <c r="H55" s="471">
        <v>0</v>
      </c>
      <c r="I55" s="192">
        <v>0</v>
      </c>
      <c r="J55" s="192">
        <v>0</v>
      </c>
      <c r="K55" s="192">
        <v>0</v>
      </c>
      <c r="L55" s="182">
        <v>0</v>
      </c>
      <c r="M55" s="192">
        <v>0</v>
      </c>
      <c r="N55" s="192">
        <v>0</v>
      </c>
      <c r="O55" s="192">
        <v>0</v>
      </c>
      <c r="P55" s="192">
        <v>0</v>
      </c>
      <c r="Q55" s="192">
        <v>0</v>
      </c>
      <c r="R55" s="192">
        <f t="shared" si="9"/>
        <v>0</v>
      </c>
      <c r="S55" s="164"/>
    </row>
    <row r="56" spans="2:19" ht="18" customHeight="1">
      <c r="B56" s="164"/>
      <c r="D56" s="177" t="s">
        <v>169</v>
      </c>
      <c r="E56" s="191">
        <v>0</v>
      </c>
      <c r="F56" s="192">
        <v>0</v>
      </c>
      <c r="G56" s="192">
        <v>0</v>
      </c>
      <c r="H56" s="471">
        <v>0</v>
      </c>
      <c r="I56" s="192">
        <v>0</v>
      </c>
      <c r="J56" s="192">
        <v>0</v>
      </c>
      <c r="K56" s="192">
        <v>0</v>
      </c>
      <c r="L56" s="182">
        <v>0</v>
      </c>
      <c r="M56" s="192">
        <v>0</v>
      </c>
      <c r="N56" s="192">
        <v>0</v>
      </c>
      <c r="O56" s="192">
        <v>0</v>
      </c>
      <c r="P56" s="192">
        <v>0</v>
      </c>
      <c r="Q56" s="192">
        <v>0</v>
      </c>
      <c r="R56" s="192">
        <f t="shared" si="9"/>
        <v>0</v>
      </c>
      <c r="S56" s="164"/>
    </row>
    <row r="57" spans="2:19" ht="18" customHeight="1">
      <c r="B57" s="164"/>
      <c r="D57" s="177" t="s">
        <v>170</v>
      </c>
      <c r="E57" s="191">
        <v>0</v>
      </c>
      <c r="F57" s="192">
        <v>0</v>
      </c>
      <c r="G57" s="192">
        <v>0</v>
      </c>
      <c r="H57" s="471">
        <v>0</v>
      </c>
      <c r="I57" s="192">
        <v>0</v>
      </c>
      <c r="J57" s="192">
        <v>0</v>
      </c>
      <c r="K57" s="192">
        <v>0</v>
      </c>
      <c r="L57" s="182">
        <v>0</v>
      </c>
      <c r="M57" s="192">
        <v>0</v>
      </c>
      <c r="N57" s="192">
        <v>0</v>
      </c>
      <c r="O57" s="192">
        <v>43647</v>
      </c>
      <c r="P57" s="192">
        <v>0</v>
      </c>
      <c r="Q57" s="192">
        <v>0</v>
      </c>
      <c r="R57" s="192">
        <f t="shared" si="9"/>
        <v>43647</v>
      </c>
      <c r="S57" s="164"/>
    </row>
    <row r="58" spans="2:19" ht="18" customHeight="1">
      <c r="B58" s="188"/>
      <c r="C58" s="163"/>
      <c r="D58" s="184" t="s">
        <v>252</v>
      </c>
      <c r="E58" s="173">
        <v>1967506</v>
      </c>
      <c r="F58" s="174">
        <v>3647002</v>
      </c>
      <c r="G58" s="174">
        <v>7291285</v>
      </c>
      <c r="H58" s="470">
        <v>0</v>
      </c>
      <c r="I58" s="174">
        <v>9593189</v>
      </c>
      <c r="J58" s="174">
        <v>4475752</v>
      </c>
      <c r="K58" s="174">
        <v>233257</v>
      </c>
      <c r="L58" s="186">
        <v>497451</v>
      </c>
      <c r="M58" s="174">
        <v>3192394</v>
      </c>
      <c r="N58" s="174">
        <v>62653</v>
      </c>
      <c r="O58" s="174"/>
      <c r="P58" s="174">
        <v>990636</v>
      </c>
      <c r="Q58" s="174">
        <v>174734</v>
      </c>
      <c r="R58" s="174">
        <f t="shared" si="9"/>
        <v>32125859</v>
      </c>
      <c r="S58" s="164"/>
    </row>
    <row r="59" spans="2:19" ht="18" customHeight="1">
      <c r="B59" s="188" t="s">
        <v>171</v>
      </c>
      <c r="C59" s="163"/>
      <c r="D59" s="163"/>
      <c r="E59" s="173">
        <f>E36+E45</f>
        <v>23709928</v>
      </c>
      <c r="F59" s="174">
        <f aca="true" t="shared" si="14" ref="F59:Q59">F36+F45</f>
        <v>3243544</v>
      </c>
      <c r="G59" s="174">
        <f t="shared" si="14"/>
        <v>8992831</v>
      </c>
      <c r="H59" s="470" t="s">
        <v>506</v>
      </c>
      <c r="I59" s="174">
        <f t="shared" si="14"/>
        <v>5894594</v>
      </c>
      <c r="J59" s="174">
        <f t="shared" si="14"/>
        <v>4553036</v>
      </c>
      <c r="K59" s="174">
        <f t="shared" si="14"/>
        <v>3610501</v>
      </c>
      <c r="L59" s="189">
        <f t="shared" si="14"/>
        <v>2159397</v>
      </c>
      <c r="M59" s="174">
        <f t="shared" si="14"/>
        <v>3134482</v>
      </c>
      <c r="N59" s="174">
        <f t="shared" si="14"/>
        <v>733140</v>
      </c>
      <c r="O59" s="174">
        <f t="shared" si="14"/>
        <v>1441003</v>
      </c>
      <c r="P59" s="174">
        <f t="shared" si="14"/>
        <v>485493</v>
      </c>
      <c r="Q59" s="174">
        <f t="shared" si="14"/>
        <v>7357161</v>
      </c>
      <c r="R59" s="174">
        <f t="shared" si="9"/>
        <v>65315110</v>
      </c>
      <c r="S59" s="164"/>
    </row>
    <row r="60" spans="2:19" ht="18" customHeight="1">
      <c r="B60" s="190" t="s">
        <v>283</v>
      </c>
      <c r="C60" s="163"/>
      <c r="D60" s="163"/>
      <c r="E60" s="173">
        <f>E35+E59</f>
        <v>26942890</v>
      </c>
      <c r="F60" s="174">
        <f aca="true" t="shared" si="15" ref="F60:Q60">F35+F59</f>
        <v>4441613</v>
      </c>
      <c r="G60" s="174">
        <f t="shared" si="15"/>
        <v>9646963</v>
      </c>
      <c r="H60" s="470" t="s">
        <v>506</v>
      </c>
      <c r="I60" s="174">
        <f t="shared" si="15"/>
        <v>7756939</v>
      </c>
      <c r="J60" s="174">
        <f t="shared" si="15"/>
        <v>5290851</v>
      </c>
      <c r="K60" s="174">
        <f t="shared" si="15"/>
        <v>3887569</v>
      </c>
      <c r="L60" s="189">
        <f t="shared" si="15"/>
        <v>2256286</v>
      </c>
      <c r="M60" s="174">
        <f t="shared" si="15"/>
        <v>4619954</v>
      </c>
      <c r="N60" s="174">
        <f t="shared" si="15"/>
        <v>735694</v>
      </c>
      <c r="O60" s="174">
        <f t="shared" si="15"/>
        <v>1472562</v>
      </c>
      <c r="P60" s="174">
        <f t="shared" si="15"/>
        <v>553282</v>
      </c>
      <c r="Q60" s="174">
        <f t="shared" si="15"/>
        <v>7610142</v>
      </c>
      <c r="R60" s="174">
        <f t="shared" si="9"/>
        <v>75214745</v>
      </c>
      <c r="S60" s="164"/>
    </row>
    <row r="61" spans="2:19" ht="18" customHeight="1">
      <c r="B61" s="188" t="s">
        <v>172</v>
      </c>
      <c r="C61" s="163"/>
      <c r="D61" s="163"/>
      <c r="E61" s="173">
        <v>0</v>
      </c>
      <c r="F61" s="174"/>
      <c r="G61" s="174">
        <v>0</v>
      </c>
      <c r="H61" s="470" t="s">
        <v>506</v>
      </c>
      <c r="I61" s="174">
        <v>0</v>
      </c>
      <c r="J61" s="174">
        <v>0</v>
      </c>
      <c r="K61" s="174">
        <v>0</v>
      </c>
      <c r="L61" s="189">
        <v>0</v>
      </c>
      <c r="M61" s="174"/>
      <c r="N61" s="174">
        <v>0</v>
      </c>
      <c r="O61" s="174">
        <v>0</v>
      </c>
      <c r="P61" s="174">
        <v>0</v>
      </c>
      <c r="Q61" s="174">
        <v>0</v>
      </c>
      <c r="R61" s="174">
        <f t="shared" si="9"/>
        <v>0</v>
      </c>
      <c r="S61" s="164"/>
    </row>
    <row r="62" spans="2:19" ht="18" customHeight="1" thickBot="1">
      <c r="B62" s="171" t="s">
        <v>173</v>
      </c>
      <c r="C62" s="167"/>
      <c r="D62" s="167"/>
      <c r="E62" s="194">
        <v>0</v>
      </c>
      <c r="F62" s="195"/>
      <c r="G62" s="195">
        <v>0</v>
      </c>
      <c r="H62" s="472" t="s">
        <v>507</v>
      </c>
      <c r="I62" s="195">
        <v>0</v>
      </c>
      <c r="J62" s="195">
        <v>0</v>
      </c>
      <c r="K62" s="195">
        <v>0</v>
      </c>
      <c r="L62" s="196">
        <v>0</v>
      </c>
      <c r="M62" s="195"/>
      <c r="N62" s="195">
        <v>0</v>
      </c>
      <c r="O62" s="195">
        <v>0</v>
      </c>
      <c r="P62" s="195">
        <v>0</v>
      </c>
      <c r="Q62" s="195">
        <v>0</v>
      </c>
      <c r="R62" s="195">
        <f t="shared" si="9"/>
        <v>0</v>
      </c>
      <c r="S62" s="164"/>
    </row>
    <row r="64" spans="4:20" ht="17.25">
      <c r="D64" s="423"/>
      <c r="E64" s="176" t="b">
        <f>IF(E24=(E35+E59)="","Check!")</f>
        <v>0</v>
      </c>
      <c r="F64" s="176" t="b">
        <f aca="true" t="shared" si="16" ref="F64:R64">IF(F24=(F35+F59)="","Check!")</f>
        <v>0</v>
      </c>
      <c r="G64" s="176" t="b">
        <f t="shared" si="16"/>
        <v>0</v>
      </c>
      <c r="H64" s="176" t="b">
        <f t="shared" si="16"/>
        <v>0</v>
      </c>
      <c r="I64" s="176" t="b">
        <f t="shared" si="16"/>
        <v>0</v>
      </c>
      <c r="J64" s="176" t="b">
        <f t="shared" si="16"/>
        <v>0</v>
      </c>
      <c r="K64" s="176" t="b">
        <f t="shared" si="16"/>
        <v>0</v>
      </c>
      <c r="L64" s="176" t="b">
        <f t="shared" si="16"/>
        <v>0</v>
      </c>
      <c r="M64" s="176" t="b">
        <f t="shared" si="16"/>
        <v>0</v>
      </c>
      <c r="N64" s="176" t="b">
        <f t="shared" si="16"/>
        <v>0</v>
      </c>
      <c r="O64" s="176" t="b">
        <f t="shared" si="16"/>
        <v>0</v>
      </c>
      <c r="P64" s="176" t="b">
        <f t="shared" si="16"/>
        <v>0</v>
      </c>
      <c r="Q64" s="176" t="b">
        <f t="shared" si="16"/>
        <v>0</v>
      </c>
      <c r="R64" s="176" t="b">
        <f t="shared" si="16"/>
        <v>0</v>
      </c>
      <c r="S64" s="176"/>
      <c r="T64" s="176"/>
    </row>
    <row r="75" ht="17.25">
      <c r="D75" s="176"/>
    </row>
  </sheetData>
  <sheetProtection/>
  <mergeCells count="1">
    <mergeCell ref="H6:H7"/>
  </mergeCells>
  <printOptions/>
  <pageMargins left="0.7874015748031497" right="0.3937007874015748" top="0.7086614173228347" bottom="0.5905511811023623" header="0.5905511811023623" footer="0.5118110236220472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T38"/>
  <sheetViews>
    <sheetView showGridLines="0" showZeros="0" view="pageBreakPreview" zoomScale="60" zoomScaleNormal="65" zoomScalePageLayoutView="0" workbookViewId="0" topLeftCell="A1">
      <pane xSplit="4" ySplit="8" topLeftCell="E21" activePane="bottomRight" state="frozen"/>
      <selection pane="topLeft" activeCell="D31" sqref="D31:P31"/>
      <selection pane="topRight" activeCell="D31" sqref="D31:P31"/>
      <selection pane="bottomLeft" activeCell="D31" sqref="D31:P31"/>
      <selection pane="bottomRight" activeCell="M31" sqref="M31"/>
    </sheetView>
  </sheetViews>
  <sheetFormatPr defaultColWidth="8.66015625" defaultRowHeight="18"/>
  <cols>
    <col min="1" max="1" width="1.66015625" style="246" customWidth="1"/>
    <col min="2" max="3" width="4.66015625" style="246" customWidth="1"/>
    <col min="4" max="4" width="20.66015625" style="246" customWidth="1"/>
    <col min="5" max="17" width="12.66015625" style="246" customWidth="1"/>
    <col min="18" max="18" width="13.16015625" style="246" customWidth="1"/>
    <col min="19" max="19" width="1.66015625" style="246" customWidth="1"/>
    <col min="20" max="20" width="2.66015625" style="246" customWidth="1"/>
    <col min="21" max="16384" width="8.66015625" style="246" customWidth="1"/>
  </cols>
  <sheetData>
    <row r="1" ht="27.75" customHeight="1">
      <c r="B1" s="245" t="s">
        <v>0</v>
      </c>
    </row>
    <row r="2" ht="27.75" customHeight="1"/>
    <row r="3" spans="2:18" ht="27.75" customHeight="1" thickBot="1">
      <c r="B3" s="247" t="s">
        <v>174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8" t="s">
        <v>56</v>
      </c>
    </row>
    <row r="4" spans="2:19" ht="27.75" customHeight="1">
      <c r="B4" s="249"/>
      <c r="E4" s="73"/>
      <c r="F4" s="74"/>
      <c r="G4" s="74"/>
      <c r="H4" s="35"/>
      <c r="I4" s="74"/>
      <c r="J4" s="74"/>
      <c r="K4" s="74"/>
      <c r="L4" s="74"/>
      <c r="M4" s="74"/>
      <c r="N4" s="74"/>
      <c r="O4" s="74"/>
      <c r="P4" s="74"/>
      <c r="Q4" s="74"/>
      <c r="R4" s="169"/>
      <c r="S4" s="249"/>
    </row>
    <row r="5" spans="2:19" ht="27.75" customHeight="1">
      <c r="B5" s="249"/>
      <c r="D5" s="246" t="s">
        <v>57</v>
      </c>
      <c r="E5" s="75" t="s">
        <v>3</v>
      </c>
      <c r="F5" s="76" t="s">
        <v>4</v>
      </c>
      <c r="G5" s="76" t="s">
        <v>5</v>
      </c>
      <c r="H5" s="37" t="s">
        <v>6</v>
      </c>
      <c r="I5" s="76" t="s">
        <v>7</v>
      </c>
      <c r="J5" s="76" t="s">
        <v>8</v>
      </c>
      <c r="K5" s="76" t="s">
        <v>9</v>
      </c>
      <c r="L5" s="76" t="s">
        <v>238</v>
      </c>
      <c r="M5" s="76" t="s">
        <v>239</v>
      </c>
      <c r="N5" s="76" t="s">
        <v>240</v>
      </c>
      <c r="O5" s="76" t="s">
        <v>10</v>
      </c>
      <c r="P5" s="76" t="s">
        <v>241</v>
      </c>
      <c r="Q5" s="76" t="s">
        <v>11</v>
      </c>
      <c r="R5" s="169"/>
      <c r="S5" s="249"/>
    </row>
    <row r="6" spans="2:19" ht="27.75" customHeight="1">
      <c r="B6" s="249"/>
      <c r="E6" s="73"/>
      <c r="F6" s="74"/>
      <c r="G6" s="74"/>
      <c r="H6" s="502" t="s">
        <v>504</v>
      </c>
      <c r="I6" s="74"/>
      <c r="J6" s="74"/>
      <c r="K6" s="74"/>
      <c r="L6" s="74"/>
      <c r="M6" s="74"/>
      <c r="N6" s="74"/>
      <c r="O6" s="74"/>
      <c r="P6" s="74"/>
      <c r="Q6" s="74"/>
      <c r="R6" s="170" t="s">
        <v>12</v>
      </c>
      <c r="S6" s="249"/>
    </row>
    <row r="7" spans="2:19" ht="27.75" customHeight="1">
      <c r="B7" s="249"/>
      <c r="C7" s="246" t="s">
        <v>58</v>
      </c>
      <c r="E7" s="73" t="s">
        <v>355</v>
      </c>
      <c r="F7" s="74" t="s">
        <v>355</v>
      </c>
      <c r="G7" s="74"/>
      <c r="H7" s="502"/>
      <c r="I7" s="74"/>
      <c r="J7" s="74"/>
      <c r="K7" s="74" t="s">
        <v>355</v>
      </c>
      <c r="L7" s="77" t="s">
        <v>356</v>
      </c>
      <c r="M7" s="74" t="s">
        <v>357</v>
      </c>
      <c r="N7" s="74" t="s">
        <v>14</v>
      </c>
      <c r="O7" s="74" t="s">
        <v>14</v>
      </c>
      <c r="P7" s="74" t="s">
        <v>358</v>
      </c>
      <c r="Q7" s="74"/>
      <c r="R7" s="169"/>
      <c r="S7" s="249"/>
    </row>
    <row r="8" spans="2:19" ht="27.75" customHeight="1" thickBot="1">
      <c r="B8" s="250"/>
      <c r="C8" s="247"/>
      <c r="D8" s="251"/>
      <c r="E8" s="118" t="s">
        <v>359</v>
      </c>
      <c r="F8" s="81" t="s">
        <v>360</v>
      </c>
      <c r="G8" s="81" t="s">
        <v>15</v>
      </c>
      <c r="H8" s="433" t="s">
        <v>491</v>
      </c>
      <c r="I8" s="81" t="s">
        <v>319</v>
      </c>
      <c r="J8" s="81" t="s">
        <v>16</v>
      </c>
      <c r="K8" s="81" t="s">
        <v>17</v>
      </c>
      <c r="L8" s="81" t="s">
        <v>318</v>
      </c>
      <c r="M8" s="81" t="s">
        <v>363</v>
      </c>
      <c r="N8" s="81" t="s">
        <v>59</v>
      </c>
      <c r="O8" s="81" t="s">
        <v>60</v>
      </c>
      <c r="P8" s="81" t="s">
        <v>244</v>
      </c>
      <c r="Q8" s="81" t="s">
        <v>18</v>
      </c>
      <c r="R8" s="172"/>
      <c r="S8" s="249"/>
    </row>
    <row r="9" spans="2:19" ht="27.75" customHeight="1">
      <c r="B9" s="249"/>
      <c r="C9" s="252" t="s">
        <v>362</v>
      </c>
      <c r="D9" s="253"/>
      <c r="E9" s="254">
        <v>3182000</v>
      </c>
      <c r="F9" s="255">
        <v>169000</v>
      </c>
      <c r="G9" s="255">
        <v>278300</v>
      </c>
      <c r="H9" s="255">
        <v>0</v>
      </c>
      <c r="I9" s="255">
        <v>134800</v>
      </c>
      <c r="J9" s="255">
        <v>349200</v>
      </c>
      <c r="K9" s="255">
        <v>0</v>
      </c>
      <c r="L9" s="255">
        <v>99600</v>
      </c>
      <c r="M9" s="255">
        <v>447900</v>
      </c>
      <c r="N9" s="255">
        <v>10200</v>
      </c>
      <c r="O9" s="255">
        <v>0</v>
      </c>
      <c r="P9" s="255">
        <v>50100</v>
      </c>
      <c r="Q9" s="255">
        <v>276000</v>
      </c>
      <c r="R9" s="255">
        <f>SUM(E9:Q9)</f>
        <v>4997100</v>
      </c>
      <c r="S9" s="249"/>
    </row>
    <row r="10" spans="2:19" ht="27.75" customHeight="1">
      <c r="B10" s="256" t="s">
        <v>92</v>
      </c>
      <c r="C10" s="252" t="s">
        <v>364</v>
      </c>
      <c r="D10" s="253"/>
      <c r="E10" s="254">
        <v>566786</v>
      </c>
      <c r="F10" s="255">
        <v>0</v>
      </c>
      <c r="G10" s="255">
        <v>383330</v>
      </c>
      <c r="H10" s="255">
        <v>0</v>
      </c>
      <c r="I10" s="255">
        <v>307434</v>
      </c>
      <c r="J10" s="255">
        <v>0</v>
      </c>
      <c r="K10" s="255">
        <v>32965</v>
      </c>
      <c r="L10" s="255"/>
      <c r="M10" s="255">
        <v>0</v>
      </c>
      <c r="N10" s="255">
        <v>0</v>
      </c>
      <c r="O10" s="255">
        <v>0</v>
      </c>
      <c r="P10" s="255">
        <v>0</v>
      </c>
      <c r="Q10" s="255">
        <v>0</v>
      </c>
      <c r="R10" s="255">
        <f>SUM(E10:Q10)</f>
        <v>1290515</v>
      </c>
      <c r="S10" s="249"/>
    </row>
    <row r="11" spans="2:19" ht="27.75" customHeight="1">
      <c r="B11" s="256" t="s">
        <v>175</v>
      </c>
      <c r="C11" s="252" t="s">
        <v>365</v>
      </c>
      <c r="D11" s="253"/>
      <c r="E11" s="254">
        <v>0</v>
      </c>
      <c r="F11" s="255">
        <v>100000</v>
      </c>
      <c r="G11" s="255">
        <v>12500</v>
      </c>
      <c r="H11" s="255">
        <v>0</v>
      </c>
      <c r="I11" s="255">
        <v>42236</v>
      </c>
      <c r="J11" s="255">
        <v>167258</v>
      </c>
      <c r="K11" s="255">
        <v>0</v>
      </c>
      <c r="L11" s="255">
        <v>69292</v>
      </c>
      <c r="M11" s="255">
        <v>83473</v>
      </c>
      <c r="N11" s="255">
        <v>25069</v>
      </c>
      <c r="O11" s="255">
        <v>22101</v>
      </c>
      <c r="P11" s="255">
        <v>11961</v>
      </c>
      <c r="Q11" s="255">
        <v>95398</v>
      </c>
      <c r="R11" s="255">
        <f>SUM(E11:Q11)</f>
        <v>629288</v>
      </c>
      <c r="S11" s="249"/>
    </row>
    <row r="12" spans="2:19" ht="27.75" customHeight="1">
      <c r="B12" s="249"/>
      <c r="C12" s="252" t="s">
        <v>366</v>
      </c>
      <c r="D12" s="253"/>
      <c r="E12" s="254">
        <v>0</v>
      </c>
      <c r="F12" s="255">
        <v>0</v>
      </c>
      <c r="G12" s="255">
        <v>0</v>
      </c>
      <c r="H12" s="255">
        <v>0</v>
      </c>
      <c r="I12" s="255">
        <v>0</v>
      </c>
      <c r="J12" s="255">
        <v>0</v>
      </c>
      <c r="K12" s="255">
        <v>0</v>
      </c>
      <c r="L12" s="255">
        <v>0</v>
      </c>
      <c r="M12" s="255">
        <v>0</v>
      </c>
      <c r="N12" s="255">
        <v>0</v>
      </c>
      <c r="O12" s="255">
        <v>0</v>
      </c>
      <c r="P12" s="255">
        <v>0</v>
      </c>
      <c r="Q12" s="255">
        <v>0</v>
      </c>
      <c r="R12" s="255">
        <f aca="true" t="shared" si="0" ref="R12:R24">SUM(E12:Q12)</f>
        <v>0</v>
      </c>
      <c r="S12" s="249"/>
    </row>
    <row r="13" spans="2:19" ht="27.75" customHeight="1">
      <c r="B13" s="256" t="s">
        <v>176</v>
      </c>
      <c r="C13" s="252" t="s">
        <v>367</v>
      </c>
      <c r="D13" s="253"/>
      <c r="E13" s="254">
        <v>0</v>
      </c>
      <c r="F13" s="255">
        <v>167989</v>
      </c>
      <c r="G13" s="255">
        <v>0</v>
      </c>
      <c r="H13" s="255">
        <v>0</v>
      </c>
      <c r="I13" s="255">
        <v>98104</v>
      </c>
      <c r="J13" s="255">
        <v>0</v>
      </c>
      <c r="K13" s="255">
        <v>0</v>
      </c>
      <c r="L13" s="255">
        <v>6338</v>
      </c>
      <c r="M13" s="255">
        <v>0</v>
      </c>
      <c r="N13" s="255">
        <v>0</v>
      </c>
      <c r="O13" s="255">
        <v>2625</v>
      </c>
      <c r="P13" s="255">
        <v>0</v>
      </c>
      <c r="Q13" s="255">
        <v>0</v>
      </c>
      <c r="R13" s="255">
        <f t="shared" si="0"/>
        <v>275056</v>
      </c>
      <c r="S13" s="249"/>
    </row>
    <row r="14" spans="2:19" ht="27.75" customHeight="1">
      <c r="B14" s="249"/>
      <c r="C14" s="252" t="s">
        <v>368</v>
      </c>
      <c r="D14" s="253"/>
      <c r="E14" s="254">
        <v>0</v>
      </c>
      <c r="F14" s="255">
        <v>0</v>
      </c>
      <c r="G14" s="255">
        <v>0</v>
      </c>
      <c r="H14" s="255">
        <v>0</v>
      </c>
      <c r="I14" s="255">
        <v>0</v>
      </c>
      <c r="J14" s="255">
        <v>0</v>
      </c>
      <c r="K14" s="255">
        <v>0</v>
      </c>
      <c r="L14" s="255">
        <v>0</v>
      </c>
      <c r="M14" s="255">
        <v>4767</v>
      </c>
      <c r="N14" s="255">
        <v>0</v>
      </c>
      <c r="O14" s="255">
        <v>0</v>
      </c>
      <c r="P14" s="255">
        <v>0</v>
      </c>
      <c r="Q14" s="255">
        <v>0</v>
      </c>
      <c r="R14" s="255">
        <f t="shared" si="0"/>
        <v>4767</v>
      </c>
      <c r="S14" s="249"/>
    </row>
    <row r="15" spans="2:19" ht="27.75" customHeight="1">
      <c r="B15" s="256" t="s">
        <v>177</v>
      </c>
      <c r="C15" s="252" t="s">
        <v>369</v>
      </c>
      <c r="D15" s="253"/>
      <c r="E15" s="254">
        <v>5505</v>
      </c>
      <c r="F15" s="255">
        <v>0</v>
      </c>
      <c r="G15" s="255">
        <v>0</v>
      </c>
      <c r="H15" s="255">
        <v>0</v>
      </c>
      <c r="I15" s="255">
        <v>0</v>
      </c>
      <c r="J15" s="255">
        <v>0</v>
      </c>
      <c r="K15" s="255">
        <v>0</v>
      </c>
      <c r="L15" s="255">
        <v>0</v>
      </c>
      <c r="M15" s="255">
        <v>0</v>
      </c>
      <c r="N15" s="255">
        <v>2625</v>
      </c>
      <c r="O15" s="255">
        <v>0</v>
      </c>
      <c r="P15" s="255">
        <v>0</v>
      </c>
      <c r="Q15" s="255">
        <v>101940</v>
      </c>
      <c r="R15" s="255">
        <f t="shared" si="0"/>
        <v>110070</v>
      </c>
      <c r="S15" s="249"/>
    </row>
    <row r="16" spans="2:19" ht="27.75" customHeight="1">
      <c r="B16" s="249"/>
      <c r="C16" s="252" t="s">
        <v>370</v>
      </c>
      <c r="D16" s="253"/>
      <c r="E16" s="254">
        <v>5506</v>
      </c>
      <c r="F16" s="255">
        <v>0</v>
      </c>
      <c r="G16" s="255"/>
      <c r="H16" s="255">
        <v>0</v>
      </c>
      <c r="I16" s="255">
        <v>0</v>
      </c>
      <c r="J16" s="255">
        <v>100362</v>
      </c>
      <c r="K16" s="255">
        <v>1814</v>
      </c>
      <c r="L16" s="255">
        <v>0</v>
      </c>
      <c r="M16" s="255">
        <v>410628</v>
      </c>
      <c r="N16" s="255">
        <v>0</v>
      </c>
      <c r="O16" s="255">
        <v>0</v>
      </c>
      <c r="P16" s="255">
        <v>0</v>
      </c>
      <c r="Q16" s="255"/>
      <c r="R16" s="255">
        <f t="shared" si="0"/>
        <v>518310</v>
      </c>
      <c r="S16" s="249"/>
    </row>
    <row r="17" spans="2:19" ht="27.75" customHeight="1">
      <c r="B17" s="256" t="s">
        <v>130</v>
      </c>
      <c r="C17" s="252" t="s">
        <v>371</v>
      </c>
      <c r="D17" s="253"/>
      <c r="E17" s="254">
        <v>0</v>
      </c>
      <c r="F17" s="255">
        <v>0</v>
      </c>
      <c r="G17" s="255">
        <v>0</v>
      </c>
      <c r="H17" s="255">
        <v>0</v>
      </c>
      <c r="I17" s="255">
        <v>0</v>
      </c>
      <c r="J17" s="255">
        <v>0</v>
      </c>
      <c r="K17" s="255">
        <v>0</v>
      </c>
      <c r="L17" s="255">
        <v>0</v>
      </c>
      <c r="M17" s="255">
        <v>0</v>
      </c>
      <c r="N17" s="255">
        <v>0</v>
      </c>
      <c r="O17" s="255">
        <v>0</v>
      </c>
      <c r="P17" s="255">
        <v>0</v>
      </c>
      <c r="Q17" s="255">
        <v>0</v>
      </c>
      <c r="R17" s="255">
        <f t="shared" si="0"/>
        <v>0</v>
      </c>
      <c r="S17" s="249"/>
    </row>
    <row r="18" spans="2:19" ht="27.75" customHeight="1">
      <c r="B18" s="249"/>
      <c r="C18" s="252" t="s">
        <v>372</v>
      </c>
      <c r="D18" s="253"/>
      <c r="E18" s="254">
        <v>53212</v>
      </c>
      <c r="F18" s="255">
        <v>4201</v>
      </c>
      <c r="G18" s="255">
        <v>10</v>
      </c>
      <c r="H18" s="255">
        <v>76407</v>
      </c>
      <c r="I18" s="255">
        <v>1030</v>
      </c>
      <c r="J18" s="255">
        <v>4430</v>
      </c>
      <c r="K18" s="255">
        <v>0</v>
      </c>
      <c r="L18" s="255">
        <v>0</v>
      </c>
      <c r="M18" s="255">
        <v>0</v>
      </c>
      <c r="N18" s="255">
        <v>0</v>
      </c>
      <c r="O18" s="255">
        <v>0</v>
      </c>
      <c r="P18" s="255">
        <v>3000</v>
      </c>
      <c r="Q18" s="255">
        <v>300813</v>
      </c>
      <c r="R18" s="255">
        <f t="shared" si="0"/>
        <v>443103</v>
      </c>
      <c r="S18" s="249"/>
    </row>
    <row r="19" spans="2:19" ht="27.75" customHeight="1">
      <c r="B19" s="256" t="s">
        <v>118</v>
      </c>
      <c r="C19" s="257" t="s">
        <v>178</v>
      </c>
      <c r="D19" s="253"/>
      <c r="E19" s="254">
        <v>0</v>
      </c>
      <c r="F19" s="255">
        <v>0</v>
      </c>
      <c r="G19" s="255">
        <v>0</v>
      </c>
      <c r="H19" s="255">
        <v>0</v>
      </c>
      <c r="I19" s="255">
        <v>0</v>
      </c>
      <c r="J19" s="255">
        <v>0</v>
      </c>
      <c r="K19" s="255">
        <v>0</v>
      </c>
      <c r="L19" s="255">
        <v>0</v>
      </c>
      <c r="M19" s="255">
        <v>0</v>
      </c>
      <c r="N19" s="255">
        <v>0</v>
      </c>
      <c r="O19" s="255">
        <v>0</v>
      </c>
      <c r="P19" s="255">
        <v>0</v>
      </c>
      <c r="Q19" s="255">
        <v>0</v>
      </c>
      <c r="R19" s="255">
        <f t="shared" si="0"/>
        <v>0</v>
      </c>
      <c r="S19" s="249"/>
    </row>
    <row r="20" spans="2:19" ht="27.75" customHeight="1">
      <c r="B20" s="258"/>
      <c r="C20" s="259" t="s">
        <v>381</v>
      </c>
      <c r="D20" s="260"/>
      <c r="E20" s="261">
        <f>E9+E10+E11+E12+E13+E14+E15+E16+E17+E18-E19</f>
        <v>3813009</v>
      </c>
      <c r="F20" s="262">
        <f>F9+F10+F11+F12+F13+F14+F15+F16+F17+F18-F19</f>
        <v>441190</v>
      </c>
      <c r="G20" s="262">
        <f>G9+G10+G11+G12+G13+G14+G15+G16+G17+G18-G19</f>
        <v>674140</v>
      </c>
      <c r="H20" s="262">
        <f aca="true" t="shared" si="1" ref="H20:Q20">H9+H10+H11+H12+H13+H14+H15+H16+H17+H18-H19</f>
        <v>76407</v>
      </c>
      <c r="I20" s="262">
        <f t="shared" si="1"/>
        <v>583604</v>
      </c>
      <c r="J20" s="262">
        <f t="shared" si="1"/>
        <v>621250</v>
      </c>
      <c r="K20" s="262">
        <f t="shared" si="1"/>
        <v>34779</v>
      </c>
      <c r="L20" s="262">
        <f t="shared" si="1"/>
        <v>175230</v>
      </c>
      <c r="M20" s="262">
        <f t="shared" si="1"/>
        <v>946768</v>
      </c>
      <c r="N20" s="262">
        <f t="shared" si="1"/>
        <v>37894</v>
      </c>
      <c r="O20" s="262">
        <f t="shared" si="1"/>
        <v>24726</v>
      </c>
      <c r="P20" s="262">
        <f t="shared" si="1"/>
        <v>65061</v>
      </c>
      <c r="Q20" s="262">
        <f t="shared" si="1"/>
        <v>774151</v>
      </c>
      <c r="R20" s="262">
        <f t="shared" si="0"/>
        <v>8268209</v>
      </c>
      <c r="S20" s="249"/>
    </row>
    <row r="21" spans="2:19" ht="27.75" customHeight="1">
      <c r="B21" s="249"/>
      <c r="C21" s="263" t="s">
        <v>373</v>
      </c>
      <c r="D21" s="253"/>
      <c r="E21" s="254">
        <v>4151394</v>
      </c>
      <c r="F21" s="255">
        <v>240817</v>
      </c>
      <c r="G21" s="255">
        <v>307225</v>
      </c>
      <c r="H21" s="255">
        <v>0</v>
      </c>
      <c r="I21" s="255">
        <v>233807</v>
      </c>
      <c r="J21" s="255">
        <v>452449</v>
      </c>
      <c r="K21" s="255">
        <v>294270</v>
      </c>
      <c r="L21" s="255">
        <v>108133</v>
      </c>
      <c r="M21" s="255">
        <v>867247</v>
      </c>
      <c r="N21" s="255">
        <v>16164</v>
      </c>
      <c r="O21" s="255">
        <v>12758</v>
      </c>
      <c r="P21" s="255">
        <v>53065</v>
      </c>
      <c r="Q21" s="255">
        <v>391166</v>
      </c>
      <c r="R21" s="255">
        <f t="shared" si="0"/>
        <v>7128495</v>
      </c>
      <c r="S21" s="249"/>
    </row>
    <row r="22" spans="2:19" ht="27.75" customHeight="1">
      <c r="B22" s="256" t="s">
        <v>179</v>
      </c>
      <c r="C22" s="257" t="s">
        <v>180</v>
      </c>
      <c r="D22" s="264" t="s">
        <v>374</v>
      </c>
      <c r="E22" s="254">
        <v>37172</v>
      </c>
      <c r="F22" s="255">
        <v>0</v>
      </c>
      <c r="G22" s="255">
        <v>0</v>
      </c>
      <c r="H22" s="255">
        <v>0</v>
      </c>
      <c r="I22" s="255">
        <v>0</v>
      </c>
      <c r="J22" s="255">
        <v>0</v>
      </c>
      <c r="K22" s="255">
        <v>0</v>
      </c>
      <c r="L22" s="255">
        <v>0</v>
      </c>
      <c r="M22" s="255">
        <v>0</v>
      </c>
      <c r="N22" s="255">
        <v>0</v>
      </c>
      <c r="O22" s="255">
        <v>0</v>
      </c>
      <c r="P22" s="255">
        <v>0</v>
      </c>
      <c r="Q22" s="255">
        <v>0</v>
      </c>
      <c r="R22" s="255">
        <f t="shared" si="0"/>
        <v>37172</v>
      </c>
      <c r="S22" s="249"/>
    </row>
    <row r="23" spans="2:19" ht="27.75" customHeight="1">
      <c r="B23" s="256" t="s">
        <v>175</v>
      </c>
      <c r="C23" s="252" t="s">
        <v>375</v>
      </c>
      <c r="D23" s="253"/>
      <c r="E23" s="254">
        <v>723589</v>
      </c>
      <c r="F23" s="255">
        <v>117121</v>
      </c>
      <c r="G23" s="255">
        <v>640517</v>
      </c>
      <c r="H23" s="255">
        <v>76407</v>
      </c>
      <c r="I23" s="255">
        <v>613188</v>
      </c>
      <c r="J23" s="255">
        <v>277185</v>
      </c>
      <c r="K23" s="255">
        <v>49447</v>
      </c>
      <c r="L23" s="255">
        <v>67094</v>
      </c>
      <c r="M23" s="255">
        <v>141772</v>
      </c>
      <c r="N23" s="255">
        <v>21730</v>
      </c>
      <c r="O23" s="255">
        <v>25551</v>
      </c>
      <c r="P23" s="255">
        <v>21677</v>
      </c>
      <c r="Q23" s="255">
        <v>195410</v>
      </c>
      <c r="R23" s="255">
        <f t="shared" si="0"/>
        <v>2970688</v>
      </c>
      <c r="S23" s="249"/>
    </row>
    <row r="24" spans="2:20" ht="36" customHeight="1">
      <c r="B24" s="256" t="s">
        <v>176</v>
      </c>
      <c r="C24" s="503" t="s">
        <v>378</v>
      </c>
      <c r="D24" s="504"/>
      <c r="E24" s="265">
        <v>0</v>
      </c>
      <c r="F24" s="266">
        <v>0</v>
      </c>
      <c r="G24" s="266">
        <v>0</v>
      </c>
      <c r="H24" s="266">
        <v>0</v>
      </c>
      <c r="I24" s="266">
        <v>0</v>
      </c>
      <c r="J24" s="266">
        <v>0</v>
      </c>
      <c r="K24" s="266">
        <v>0</v>
      </c>
      <c r="L24" s="266">
        <v>0</v>
      </c>
      <c r="M24" s="266">
        <v>0</v>
      </c>
      <c r="N24" s="266">
        <v>0</v>
      </c>
      <c r="O24" s="266">
        <v>0</v>
      </c>
      <c r="P24" s="266">
        <v>0</v>
      </c>
      <c r="Q24" s="266">
        <v>0</v>
      </c>
      <c r="R24" s="255">
        <f t="shared" si="0"/>
        <v>0</v>
      </c>
      <c r="S24" s="267"/>
      <c r="T24" s="268"/>
    </row>
    <row r="25" spans="2:19" ht="27.75" customHeight="1">
      <c r="B25" s="256" t="s">
        <v>181</v>
      </c>
      <c r="C25" s="252" t="s">
        <v>376</v>
      </c>
      <c r="D25" s="253"/>
      <c r="E25" s="254">
        <v>0</v>
      </c>
      <c r="F25" s="255">
        <v>0</v>
      </c>
      <c r="G25" s="255">
        <v>0</v>
      </c>
      <c r="H25" s="255">
        <v>0</v>
      </c>
      <c r="I25" s="255">
        <v>0</v>
      </c>
      <c r="J25" s="255">
        <v>0</v>
      </c>
      <c r="K25" s="255">
        <v>0</v>
      </c>
      <c r="L25" s="255">
        <v>0</v>
      </c>
      <c r="M25" s="255">
        <v>0</v>
      </c>
      <c r="N25" s="255">
        <v>0</v>
      </c>
      <c r="O25" s="255">
        <v>0</v>
      </c>
      <c r="P25" s="255">
        <v>0</v>
      </c>
      <c r="Q25" s="255">
        <v>0</v>
      </c>
      <c r="R25" s="255">
        <f aca="true" t="shared" si="2" ref="R25:R33">SUM(E25:Q25)</f>
        <v>0</v>
      </c>
      <c r="S25" s="249"/>
    </row>
    <row r="26" spans="2:19" ht="27.75" customHeight="1">
      <c r="B26" s="256" t="s">
        <v>182</v>
      </c>
      <c r="C26" s="252" t="s">
        <v>377</v>
      </c>
      <c r="D26" s="253"/>
      <c r="E26" s="254">
        <v>10200</v>
      </c>
      <c r="F26" s="255">
        <v>12501</v>
      </c>
      <c r="G26" s="255">
        <v>0</v>
      </c>
      <c r="H26" s="255">
        <v>0</v>
      </c>
      <c r="I26" s="255">
        <v>0</v>
      </c>
      <c r="J26" s="255">
        <v>6200</v>
      </c>
      <c r="K26" s="255">
        <v>2160</v>
      </c>
      <c r="L26" s="255">
        <v>0</v>
      </c>
      <c r="M26" s="255"/>
      <c r="N26" s="255">
        <v>0</v>
      </c>
      <c r="O26" s="255">
        <v>0</v>
      </c>
      <c r="P26" s="255">
        <v>0</v>
      </c>
      <c r="Q26" s="255">
        <v>4600</v>
      </c>
      <c r="R26" s="255">
        <f t="shared" si="2"/>
        <v>35661</v>
      </c>
      <c r="S26" s="249"/>
    </row>
    <row r="27" spans="2:19" ht="27.75" customHeight="1">
      <c r="B27" s="269"/>
      <c r="C27" s="259" t="s">
        <v>379</v>
      </c>
      <c r="D27" s="260"/>
      <c r="E27" s="261">
        <f>E21+E23+E24+E25+E26</f>
        <v>4885183</v>
      </c>
      <c r="F27" s="435">
        <f aca="true" t="shared" si="3" ref="F27:R27">F21+F23+F24+F25+F26</f>
        <v>370439</v>
      </c>
      <c r="G27" s="435">
        <f t="shared" si="3"/>
        <v>947742</v>
      </c>
      <c r="H27" s="435">
        <f t="shared" si="3"/>
        <v>76407</v>
      </c>
      <c r="I27" s="435">
        <f t="shared" si="3"/>
        <v>846995</v>
      </c>
      <c r="J27" s="435">
        <f t="shared" si="3"/>
        <v>735834</v>
      </c>
      <c r="K27" s="435">
        <f t="shared" si="3"/>
        <v>345877</v>
      </c>
      <c r="L27" s="435">
        <f t="shared" si="3"/>
        <v>175227</v>
      </c>
      <c r="M27" s="435">
        <f t="shared" si="3"/>
        <v>1009019</v>
      </c>
      <c r="N27" s="435">
        <f t="shared" si="3"/>
        <v>37894</v>
      </c>
      <c r="O27" s="435">
        <f t="shared" si="3"/>
        <v>38309</v>
      </c>
      <c r="P27" s="435">
        <f t="shared" si="3"/>
        <v>74742</v>
      </c>
      <c r="Q27" s="435">
        <f t="shared" si="3"/>
        <v>591176</v>
      </c>
      <c r="R27" s="434">
        <f t="shared" si="3"/>
        <v>10134844</v>
      </c>
      <c r="S27" s="249"/>
    </row>
    <row r="28" spans="2:19" ht="27.75" customHeight="1">
      <c r="B28" s="270" t="s">
        <v>380</v>
      </c>
      <c r="C28" s="271"/>
      <c r="D28" s="271"/>
      <c r="E28" s="261">
        <f>IF((E27-E20)&lt;0,0,E27-E20)</f>
        <v>1072174</v>
      </c>
      <c r="F28" s="262">
        <f aca="true" t="shared" si="4" ref="F28:Q28">IF((F27-F20)&lt;0,0,F27-F20)</f>
        <v>0</v>
      </c>
      <c r="G28" s="262">
        <f t="shared" si="4"/>
        <v>273602</v>
      </c>
      <c r="H28" s="262">
        <f t="shared" si="4"/>
        <v>0</v>
      </c>
      <c r="I28" s="262">
        <f t="shared" si="4"/>
        <v>263391</v>
      </c>
      <c r="J28" s="262">
        <f t="shared" si="4"/>
        <v>114584</v>
      </c>
      <c r="K28" s="262">
        <f t="shared" si="4"/>
        <v>311098</v>
      </c>
      <c r="L28" s="262"/>
      <c r="M28" s="262">
        <f t="shared" si="4"/>
        <v>62251</v>
      </c>
      <c r="N28" s="262">
        <f t="shared" si="4"/>
        <v>0</v>
      </c>
      <c r="O28" s="262">
        <f t="shared" si="4"/>
        <v>13583</v>
      </c>
      <c r="P28" s="262">
        <f t="shared" si="4"/>
        <v>9681</v>
      </c>
      <c r="Q28" s="262">
        <f t="shared" si="4"/>
        <v>0</v>
      </c>
      <c r="R28" s="262">
        <f t="shared" si="2"/>
        <v>2120364</v>
      </c>
      <c r="S28" s="249"/>
    </row>
    <row r="29" spans="2:19" ht="27.75" customHeight="1">
      <c r="B29" s="256" t="s">
        <v>183</v>
      </c>
      <c r="C29" s="257" t="s">
        <v>184</v>
      </c>
      <c r="D29" s="253"/>
      <c r="E29" s="254">
        <v>1067794</v>
      </c>
      <c r="F29" s="255">
        <v>0</v>
      </c>
      <c r="G29" s="255">
        <v>258972</v>
      </c>
      <c r="H29" s="255">
        <v>0</v>
      </c>
      <c r="I29" s="255">
        <v>229377</v>
      </c>
      <c r="J29" s="255">
        <v>114287</v>
      </c>
      <c r="K29" s="255">
        <v>311098</v>
      </c>
      <c r="L29" s="255">
        <v>0</v>
      </c>
      <c r="M29" s="255">
        <v>20953</v>
      </c>
      <c r="N29" s="255"/>
      <c r="O29" s="255">
        <v>13583</v>
      </c>
      <c r="P29" s="255">
        <v>7156</v>
      </c>
      <c r="Q29" s="255"/>
      <c r="R29" s="255">
        <f t="shared" si="2"/>
        <v>2023220</v>
      </c>
      <c r="S29" s="249"/>
    </row>
    <row r="30" spans="2:19" ht="27.75" customHeight="1">
      <c r="B30" s="256" t="s">
        <v>185</v>
      </c>
      <c r="C30" s="257" t="s">
        <v>186</v>
      </c>
      <c r="D30" s="253"/>
      <c r="E30" s="254">
        <v>0</v>
      </c>
      <c r="F30" s="255">
        <v>0</v>
      </c>
      <c r="G30" s="255">
        <v>0</v>
      </c>
      <c r="H30" s="255">
        <v>0</v>
      </c>
      <c r="I30" s="255"/>
      <c r="J30" s="255">
        <v>0</v>
      </c>
      <c r="K30" s="255">
        <v>0</v>
      </c>
      <c r="L30" s="255">
        <v>0</v>
      </c>
      <c r="M30" s="255"/>
      <c r="N30" s="255">
        <v>0</v>
      </c>
      <c r="O30" s="255">
        <v>0</v>
      </c>
      <c r="P30" s="255">
        <v>0</v>
      </c>
      <c r="Q30" s="255">
        <v>0</v>
      </c>
      <c r="R30" s="255">
        <f t="shared" si="2"/>
        <v>0</v>
      </c>
      <c r="S30" s="249"/>
    </row>
    <row r="31" spans="2:19" ht="27.75" customHeight="1">
      <c r="B31" s="256" t="s">
        <v>187</v>
      </c>
      <c r="C31" s="257" t="s">
        <v>188</v>
      </c>
      <c r="D31" s="253"/>
      <c r="E31" s="254">
        <v>0</v>
      </c>
      <c r="F31" s="255">
        <v>0</v>
      </c>
      <c r="G31" s="255">
        <v>0</v>
      </c>
      <c r="H31" s="255">
        <v>0</v>
      </c>
      <c r="I31" s="255">
        <v>0</v>
      </c>
      <c r="J31" s="255">
        <v>0</v>
      </c>
      <c r="K31" s="255">
        <v>0</v>
      </c>
      <c r="L31" s="255">
        <v>0</v>
      </c>
      <c r="M31" s="255">
        <v>0</v>
      </c>
      <c r="N31" s="255">
        <v>0</v>
      </c>
      <c r="O31" s="255">
        <v>0</v>
      </c>
      <c r="P31" s="255">
        <v>0</v>
      </c>
      <c r="Q31" s="255">
        <v>0</v>
      </c>
      <c r="R31" s="255">
        <f t="shared" si="2"/>
        <v>0</v>
      </c>
      <c r="S31" s="249"/>
    </row>
    <row r="32" spans="2:19" ht="27.75" customHeight="1">
      <c r="B32" s="256" t="s">
        <v>189</v>
      </c>
      <c r="C32" s="257" t="s">
        <v>190</v>
      </c>
      <c r="D32" s="253"/>
      <c r="E32" s="254">
        <v>0</v>
      </c>
      <c r="F32" s="255">
        <v>0</v>
      </c>
      <c r="G32" s="255">
        <v>0</v>
      </c>
      <c r="H32" s="255">
        <v>0</v>
      </c>
      <c r="I32" s="255">
        <v>0</v>
      </c>
      <c r="J32" s="255">
        <v>0</v>
      </c>
      <c r="K32" s="255">
        <v>0</v>
      </c>
      <c r="L32" s="255">
        <v>0</v>
      </c>
      <c r="M32" s="255">
        <v>0</v>
      </c>
      <c r="N32" s="255">
        <v>0</v>
      </c>
      <c r="O32" s="255">
        <v>0</v>
      </c>
      <c r="P32" s="255">
        <v>0</v>
      </c>
      <c r="Q32" s="255"/>
      <c r="R32" s="255">
        <f t="shared" si="2"/>
        <v>0</v>
      </c>
      <c r="S32" s="249"/>
    </row>
    <row r="33" spans="2:19" ht="27.75" customHeight="1">
      <c r="B33" s="256" t="s">
        <v>191</v>
      </c>
      <c r="C33" s="257" t="s">
        <v>192</v>
      </c>
      <c r="D33" s="253"/>
      <c r="E33" s="254">
        <v>4380</v>
      </c>
      <c r="F33" s="255">
        <v>0</v>
      </c>
      <c r="G33" s="255">
        <v>14630</v>
      </c>
      <c r="H33" s="255">
        <v>0</v>
      </c>
      <c r="I33" s="255">
        <v>11134</v>
      </c>
      <c r="J33" s="255">
        <v>297</v>
      </c>
      <c r="K33" s="255">
        <v>0</v>
      </c>
      <c r="L33" s="255">
        <v>0</v>
      </c>
      <c r="M33" s="255">
        <v>41298</v>
      </c>
      <c r="N33" s="255">
        <v>0</v>
      </c>
      <c r="O33" s="255">
        <v>0</v>
      </c>
      <c r="P33" s="255">
        <v>2525</v>
      </c>
      <c r="Q33" s="255"/>
      <c r="R33" s="255">
        <f t="shared" si="2"/>
        <v>74264</v>
      </c>
      <c r="S33" s="249"/>
    </row>
    <row r="34" spans="2:19" ht="27.75" customHeight="1">
      <c r="B34" s="272" t="s">
        <v>193</v>
      </c>
      <c r="C34" s="259" t="s">
        <v>379</v>
      </c>
      <c r="D34" s="260"/>
      <c r="E34" s="261">
        <f>E29+E30+E31+E32+E33</f>
        <v>1072174</v>
      </c>
      <c r="F34" s="262">
        <f aca="true" t="shared" si="5" ref="F34:Q34">F29+F30+F31+F32+F33</f>
        <v>0</v>
      </c>
      <c r="G34" s="262">
        <f t="shared" si="5"/>
        <v>273602</v>
      </c>
      <c r="H34" s="262">
        <f t="shared" si="5"/>
        <v>0</v>
      </c>
      <c r="I34" s="262">
        <f t="shared" si="5"/>
        <v>240511</v>
      </c>
      <c r="J34" s="262">
        <f t="shared" si="5"/>
        <v>114584</v>
      </c>
      <c r="K34" s="262">
        <f t="shared" si="5"/>
        <v>311098</v>
      </c>
      <c r="L34" s="262">
        <f t="shared" si="5"/>
        <v>0</v>
      </c>
      <c r="M34" s="262">
        <f t="shared" si="5"/>
        <v>62251</v>
      </c>
      <c r="N34" s="262">
        <f t="shared" si="5"/>
        <v>0</v>
      </c>
      <c r="O34" s="262">
        <f t="shared" si="5"/>
        <v>13583</v>
      </c>
      <c r="P34" s="262">
        <f t="shared" si="5"/>
        <v>9681</v>
      </c>
      <c r="Q34" s="262">
        <f t="shared" si="5"/>
        <v>0</v>
      </c>
      <c r="R34" s="262">
        <f>SUM(E34:Q34)</f>
        <v>2097484</v>
      </c>
      <c r="S34" s="249"/>
    </row>
    <row r="35" spans="2:19" ht="27.75" customHeight="1" thickBot="1">
      <c r="B35" s="273" t="s">
        <v>313</v>
      </c>
      <c r="C35" s="247"/>
      <c r="D35" s="247"/>
      <c r="E35" s="274">
        <f>IF((E28-E34)&lt;0,0,E28-E34)</f>
        <v>0</v>
      </c>
      <c r="F35" s="275">
        <f>IF((F28-F34)&lt;0,0,F28-F34)</f>
        <v>0</v>
      </c>
      <c r="G35" s="275">
        <f aca="true" t="shared" si="6" ref="G35:Q35">IF((G28-G34)&lt;0,0,G28-G34)</f>
        <v>0</v>
      </c>
      <c r="H35" s="275">
        <f t="shared" si="6"/>
        <v>0</v>
      </c>
      <c r="I35" s="275">
        <f t="shared" si="6"/>
        <v>22880</v>
      </c>
      <c r="J35" s="275">
        <f t="shared" si="6"/>
        <v>0</v>
      </c>
      <c r="K35" s="275">
        <f t="shared" si="6"/>
        <v>0</v>
      </c>
      <c r="L35" s="275">
        <f t="shared" si="6"/>
        <v>0</v>
      </c>
      <c r="M35" s="275">
        <f t="shared" si="6"/>
        <v>0</v>
      </c>
      <c r="N35" s="275">
        <f t="shared" si="6"/>
        <v>0</v>
      </c>
      <c r="O35" s="275">
        <f t="shared" si="6"/>
        <v>0</v>
      </c>
      <c r="P35" s="275">
        <f t="shared" si="6"/>
        <v>0</v>
      </c>
      <c r="Q35" s="275">
        <f t="shared" si="6"/>
        <v>0</v>
      </c>
      <c r="R35" s="275">
        <f>SUM(E35:Q35)</f>
        <v>22880</v>
      </c>
      <c r="S35" s="249"/>
    </row>
    <row r="38" spans="5:19" ht="17.25">
      <c r="E38" s="276">
        <v>0</v>
      </c>
      <c r="F38" s="276">
        <v>0</v>
      </c>
      <c r="G38" s="276">
        <v>0</v>
      </c>
      <c r="H38" s="276">
        <v>0</v>
      </c>
      <c r="I38" s="276">
        <v>0</v>
      </c>
      <c r="J38" s="276">
        <v>0</v>
      </c>
      <c r="K38" s="276">
        <v>0</v>
      </c>
      <c r="L38" s="276">
        <v>0</v>
      </c>
      <c r="M38" s="276">
        <v>0</v>
      </c>
      <c r="N38" s="276">
        <v>0</v>
      </c>
      <c r="O38" s="276">
        <v>0</v>
      </c>
      <c r="P38" s="276">
        <v>0</v>
      </c>
      <c r="Q38" s="276">
        <v>0</v>
      </c>
      <c r="R38" s="276">
        <f>SUM(E38:Q38)</f>
        <v>0</v>
      </c>
      <c r="S38" s="276">
        <v>0</v>
      </c>
    </row>
  </sheetData>
  <sheetProtection/>
  <mergeCells count="2">
    <mergeCell ref="C24:D24"/>
    <mergeCell ref="H6:H7"/>
  </mergeCells>
  <printOptions/>
  <pageMargins left="0.7874015748031497" right="0.3937007874015748" top="0.7086614173228347" bottom="0.7086614173228347" header="0.5118110236220472" footer="0.5118110236220472"/>
  <pageSetup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V106"/>
  <sheetViews>
    <sheetView showGridLines="0" view="pageBreakPreview" zoomScale="65" zoomScaleNormal="65" zoomScaleSheetLayoutView="65" zoomScalePageLayoutView="0" workbookViewId="0" topLeftCell="A1">
      <pane xSplit="3" ySplit="8" topLeftCell="H33" activePane="bottomRight" state="frozen"/>
      <selection pane="topLeft" activeCell="D31" sqref="D31:P31"/>
      <selection pane="topRight" activeCell="D31" sqref="D31:P31"/>
      <selection pane="bottomLeft" activeCell="D31" sqref="D31:P31"/>
      <selection pane="bottomRight" activeCell="G41" sqref="G41"/>
    </sheetView>
  </sheetViews>
  <sheetFormatPr defaultColWidth="8.66015625" defaultRowHeight="18"/>
  <cols>
    <col min="1" max="1" width="1.66015625" style="198" customWidth="1"/>
    <col min="2" max="2" width="8.66015625" style="198" customWidth="1"/>
    <col min="3" max="3" width="28.66015625" style="198" customWidth="1"/>
    <col min="4" max="16" width="11.66015625" style="198" customWidth="1"/>
    <col min="17" max="17" width="12.66015625" style="198" customWidth="1"/>
    <col min="18" max="18" width="1.66015625" style="198" customWidth="1"/>
    <col min="19" max="19" width="2.66015625" style="198" customWidth="1"/>
    <col min="20" max="22" width="12.66015625" style="198" customWidth="1"/>
    <col min="23" max="16384" width="8.66015625" style="198" customWidth="1"/>
  </cols>
  <sheetData>
    <row r="1" ht="25.5" customHeight="1">
      <c r="B1" s="197" t="s">
        <v>0</v>
      </c>
    </row>
    <row r="2" ht="14.25" customHeight="1"/>
    <row r="3" spans="2:17" ht="25.5" customHeight="1" thickBot="1">
      <c r="B3" s="199" t="s">
        <v>194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</row>
    <row r="4" spans="2:18" ht="25.5" customHeight="1">
      <c r="B4" s="200"/>
      <c r="D4" s="289"/>
      <c r="E4" s="77"/>
      <c r="F4" s="77"/>
      <c r="G4" s="35"/>
      <c r="H4" s="77"/>
      <c r="I4" s="77"/>
      <c r="J4" s="77"/>
      <c r="K4" s="77"/>
      <c r="L4" s="77"/>
      <c r="M4" s="77"/>
      <c r="N4" s="77"/>
      <c r="O4" s="77"/>
      <c r="P4" s="77"/>
      <c r="Q4" s="290"/>
      <c r="R4" s="200"/>
    </row>
    <row r="5" spans="2:18" ht="25.5" customHeight="1">
      <c r="B5" s="200"/>
      <c r="C5" s="198" t="s">
        <v>195</v>
      </c>
      <c r="D5" s="291" t="s">
        <v>3</v>
      </c>
      <c r="E5" s="292" t="s">
        <v>4</v>
      </c>
      <c r="F5" s="292" t="s">
        <v>5</v>
      </c>
      <c r="G5" s="37" t="s">
        <v>6</v>
      </c>
      <c r="H5" s="292" t="s">
        <v>7</v>
      </c>
      <c r="I5" s="292" t="s">
        <v>8</v>
      </c>
      <c r="J5" s="292" t="s">
        <v>9</v>
      </c>
      <c r="K5" s="292" t="s">
        <v>238</v>
      </c>
      <c r="L5" s="292" t="s">
        <v>239</v>
      </c>
      <c r="M5" s="292" t="s">
        <v>240</v>
      </c>
      <c r="N5" s="292" t="s">
        <v>10</v>
      </c>
      <c r="O5" s="292" t="s">
        <v>241</v>
      </c>
      <c r="P5" s="292" t="s">
        <v>11</v>
      </c>
      <c r="Q5" s="290"/>
      <c r="R5" s="200"/>
    </row>
    <row r="6" spans="2:18" ht="25.5" customHeight="1">
      <c r="B6" s="200"/>
      <c r="D6" s="289"/>
      <c r="E6" s="77"/>
      <c r="F6" s="77"/>
      <c r="G6" s="502" t="s">
        <v>504</v>
      </c>
      <c r="H6" s="77"/>
      <c r="I6" s="77"/>
      <c r="J6" s="77"/>
      <c r="K6" s="77"/>
      <c r="L6" s="77"/>
      <c r="M6" s="77"/>
      <c r="N6" s="77"/>
      <c r="O6" s="77"/>
      <c r="P6" s="77"/>
      <c r="Q6" s="293" t="s">
        <v>12</v>
      </c>
      <c r="R6" s="200"/>
    </row>
    <row r="7" spans="2:18" ht="25.5" customHeight="1">
      <c r="B7" s="200" t="s">
        <v>91</v>
      </c>
      <c r="D7" s="289" t="s">
        <v>355</v>
      </c>
      <c r="E7" s="77" t="s">
        <v>355</v>
      </c>
      <c r="F7" s="77"/>
      <c r="G7" s="502"/>
      <c r="H7" s="77"/>
      <c r="I7" s="77"/>
      <c r="J7" s="77" t="s">
        <v>355</v>
      </c>
      <c r="K7" s="77" t="s">
        <v>356</v>
      </c>
      <c r="L7" s="77" t="s">
        <v>357</v>
      </c>
      <c r="M7" s="77" t="s">
        <v>14</v>
      </c>
      <c r="N7" s="77" t="s">
        <v>14</v>
      </c>
      <c r="O7" s="77" t="s">
        <v>358</v>
      </c>
      <c r="P7" s="77"/>
      <c r="Q7" s="294" t="s">
        <v>387</v>
      </c>
      <c r="R7" s="200"/>
    </row>
    <row r="8" spans="2:18" ht="25.5" customHeight="1" thickBot="1">
      <c r="B8" s="201"/>
      <c r="C8" s="202"/>
      <c r="D8" s="118" t="s">
        <v>359</v>
      </c>
      <c r="E8" s="81" t="s">
        <v>360</v>
      </c>
      <c r="F8" s="81" t="s">
        <v>15</v>
      </c>
      <c r="G8" s="433" t="s">
        <v>491</v>
      </c>
      <c r="H8" s="81" t="s">
        <v>319</v>
      </c>
      <c r="I8" s="81" t="s">
        <v>388</v>
      </c>
      <c r="J8" s="81" t="s">
        <v>17</v>
      </c>
      <c r="K8" s="81" t="s">
        <v>318</v>
      </c>
      <c r="L8" s="81" t="s">
        <v>337</v>
      </c>
      <c r="M8" s="81" t="s">
        <v>59</v>
      </c>
      <c r="N8" s="81" t="s">
        <v>60</v>
      </c>
      <c r="O8" s="81" t="s">
        <v>244</v>
      </c>
      <c r="P8" s="81" t="s">
        <v>18</v>
      </c>
      <c r="Q8" s="295"/>
      <c r="R8" s="200"/>
    </row>
    <row r="9" spans="2:22" ht="24.75" customHeight="1">
      <c r="B9" s="203" t="s">
        <v>253</v>
      </c>
      <c r="C9" s="204"/>
      <c r="D9" s="205">
        <f>ROUND(D45/D47*100,1)</f>
        <v>76</v>
      </c>
      <c r="E9" s="206">
        <f>ROUND(E45/E47*100,1)</f>
        <v>59.1</v>
      </c>
      <c r="F9" s="206">
        <f>ROUND(F45/F47*100,1)</f>
        <v>79.1</v>
      </c>
      <c r="G9" s="458" t="s">
        <v>507</v>
      </c>
      <c r="H9" s="206">
        <f>ROUND(H45/H47*100,1)</f>
        <v>71.2</v>
      </c>
      <c r="I9" s="206">
        <f aca="true" t="shared" si="0" ref="I9:P9">ROUND(I45/I47*100,1)</f>
        <v>83.5</v>
      </c>
      <c r="J9" s="206">
        <f t="shared" si="0"/>
        <v>51.7</v>
      </c>
      <c r="K9" s="206">
        <f>ROUND(K45/K47*100,1)</f>
        <v>70.1</v>
      </c>
      <c r="L9" s="206">
        <f>ROUND(L45/L47*100,1)</f>
        <v>30.6</v>
      </c>
      <c r="M9" s="206">
        <f t="shared" si="0"/>
        <v>86.4</v>
      </c>
      <c r="N9" s="206">
        <f t="shared" si="0"/>
        <v>94.2</v>
      </c>
      <c r="O9" s="206">
        <f t="shared" si="0"/>
        <v>35.6</v>
      </c>
      <c r="P9" s="206">
        <f t="shared" si="0"/>
        <v>63.9</v>
      </c>
      <c r="Q9" s="206">
        <f>ROUND(Q45/Q47*100,1)</f>
        <v>66.5</v>
      </c>
      <c r="R9" s="200"/>
      <c r="T9" s="207"/>
      <c r="U9" s="207"/>
      <c r="V9" s="207"/>
    </row>
    <row r="10" spans="2:22" ht="24.75" customHeight="1">
      <c r="B10" s="203" t="s">
        <v>314</v>
      </c>
      <c r="C10" s="204"/>
      <c r="D10" s="205">
        <f>ROUND(D49/D45*100,1)</f>
        <v>250.1</v>
      </c>
      <c r="E10" s="206">
        <f aca="true" t="shared" si="1" ref="E10:Q10">ROUND(E49/E45*100,1)</f>
        <v>187.7</v>
      </c>
      <c r="F10" s="206">
        <f t="shared" si="1"/>
        <v>157</v>
      </c>
      <c r="G10" s="459" t="s">
        <v>506</v>
      </c>
      <c r="H10" s="206">
        <f t="shared" si="1"/>
        <v>146.5</v>
      </c>
      <c r="I10" s="206">
        <f t="shared" si="1"/>
        <v>139.8</v>
      </c>
      <c r="J10" s="206">
        <f t="shared" si="1"/>
        <v>213.4</v>
      </c>
      <c r="K10" s="206">
        <f>ROUND(K49/K45*100,1)</f>
        <v>242.6</v>
      </c>
      <c r="L10" s="206">
        <f>ROUND(L49/L45*100,1)</f>
        <v>187.9</v>
      </c>
      <c r="M10" s="206">
        <f t="shared" si="1"/>
        <v>225</v>
      </c>
      <c r="N10" s="206">
        <f t="shared" si="1"/>
        <v>184.4</v>
      </c>
      <c r="O10" s="206">
        <f t="shared" si="1"/>
        <v>400.1</v>
      </c>
      <c r="P10" s="206">
        <f t="shared" si="1"/>
        <v>136.3</v>
      </c>
      <c r="Q10" s="206">
        <f t="shared" si="1"/>
        <v>190.5</v>
      </c>
      <c r="R10" s="200"/>
      <c r="T10" s="207"/>
      <c r="U10" s="207"/>
      <c r="V10" s="207"/>
    </row>
    <row r="11" spans="2:22" ht="24.75" customHeight="1">
      <c r="B11" s="203" t="s">
        <v>315</v>
      </c>
      <c r="C11" s="204"/>
      <c r="D11" s="208">
        <f>+D45/D51</f>
        <v>431.56164383561645</v>
      </c>
      <c r="E11" s="209">
        <f aca="true" t="shared" si="2" ref="E11:P11">+E45/E51</f>
        <v>190.36438356164385</v>
      </c>
      <c r="F11" s="209">
        <f t="shared" si="2"/>
        <v>259.58082191780824</v>
      </c>
      <c r="G11" s="460" t="s">
        <v>506</v>
      </c>
      <c r="H11" s="209">
        <f t="shared" si="2"/>
        <v>142.4986301369863</v>
      </c>
      <c r="I11" s="209">
        <f t="shared" si="2"/>
        <v>212.8931506849315</v>
      </c>
      <c r="J11" s="209">
        <f t="shared" si="2"/>
        <v>51.723287671232875</v>
      </c>
      <c r="K11" s="209">
        <f>+K45/K51</f>
        <v>63.106849315068494</v>
      </c>
      <c r="L11" s="209">
        <f>+L45/L51</f>
        <v>85.86849315068493</v>
      </c>
      <c r="M11" s="209">
        <f t="shared" si="2"/>
        <v>25.92876712328767</v>
      </c>
      <c r="N11" s="209">
        <f t="shared" si="2"/>
        <v>47.0958904109589</v>
      </c>
      <c r="O11" s="209">
        <f t="shared" si="2"/>
        <v>27.054794520547944</v>
      </c>
      <c r="P11" s="209">
        <f t="shared" si="2"/>
        <v>184.16164383561645</v>
      </c>
      <c r="Q11" s="209">
        <f>+Q45/Q51</f>
        <v>143.4865296803653</v>
      </c>
      <c r="R11" s="200"/>
      <c r="T11" s="207"/>
      <c r="U11" s="207"/>
      <c r="V11" s="207"/>
    </row>
    <row r="12" spans="2:22" ht="24.75" customHeight="1">
      <c r="B12" s="203" t="s">
        <v>254</v>
      </c>
      <c r="C12" s="204"/>
      <c r="D12" s="208">
        <f>+D49/D52</f>
        <v>1608.187755102041</v>
      </c>
      <c r="E12" s="209">
        <f aca="true" t="shared" si="3" ref="E12:P12">+E49/E52</f>
        <v>532.3795918367347</v>
      </c>
      <c r="F12" s="209">
        <f t="shared" si="3"/>
        <v>607.0122448979591</v>
      </c>
      <c r="G12" s="460" t="s">
        <v>506</v>
      </c>
      <c r="H12" s="209">
        <f t="shared" si="3"/>
        <v>311.0408163265306</v>
      </c>
      <c r="I12" s="209">
        <f t="shared" si="3"/>
        <v>443.3591836734694</v>
      </c>
      <c r="J12" s="209">
        <f t="shared" si="3"/>
        <v>164.465306122449</v>
      </c>
      <c r="K12" s="209">
        <f>+K49/K52</f>
        <v>228.04897959183674</v>
      </c>
      <c r="L12" s="209">
        <f>+L49/L52</f>
        <v>240.42448979591836</v>
      </c>
      <c r="M12" s="209">
        <f t="shared" si="3"/>
        <v>73.42068965517241</v>
      </c>
      <c r="N12" s="209">
        <f t="shared" si="3"/>
        <v>129.41224489795917</v>
      </c>
      <c r="O12" s="209">
        <f t="shared" si="3"/>
        <v>147.43283582089552</v>
      </c>
      <c r="P12" s="209">
        <f t="shared" si="3"/>
        <v>373.9510204081633</v>
      </c>
      <c r="Q12" s="209">
        <f>+Q49/Q52</f>
        <v>397.9996675531915</v>
      </c>
      <c r="R12" s="200"/>
      <c r="T12" s="207"/>
      <c r="U12" s="207"/>
      <c r="V12" s="207"/>
    </row>
    <row r="13" spans="2:22" ht="24.75" customHeight="1">
      <c r="B13" s="210" t="s">
        <v>316</v>
      </c>
      <c r="C13" s="204"/>
      <c r="D13" s="211">
        <f aca="true" t="shared" si="4" ref="D13:Q13">+((D55+D56)/(D45+D49))*1000</f>
        <v>30260.243397410093</v>
      </c>
      <c r="E13" s="209">
        <f t="shared" si="4"/>
        <v>22408.101402589087</v>
      </c>
      <c r="F13" s="209">
        <f t="shared" si="4"/>
        <v>28986.683917606228</v>
      </c>
      <c r="G13" s="460" t="s">
        <v>506</v>
      </c>
      <c r="H13" s="209">
        <f t="shared" si="4"/>
        <v>25225.243142485007</v>
      </c>
      <c r="I13" s="209">
        <f t="shared" si="4"/>
        <v>21101.60522516624</v>
      </c>
      <c r="J13" s="209">
        <f t="shared" si="4"/>
        <v>21310.378044040357</v>
      </c>
      <c r="K13" s="209">
        <f>+((K55+K56)/(K45+K49))*1000</f>
        <v>12017.920056776418</v>
      </c>
      <c r="L13" s="209">
        <f>+((L55+L56)/(L45+L49))*1000</f>
        <v>22663.408904549786</v>
      </c>
      <c r="M13" s="209">
        <f t="shared" si="4"/>
        <v>9737.156977500325</v>
      </c>
      <c r="N13" s="209">
        <f t="shared" si="4"/>
        <v>10915.207787958116</v>
      </c>
      <c r="O13" s="209">
        <f t="shared" si="4"/>
        <v>9966.651143013343</v>
      </c>
      <c r="P13" s="209">
        <f t="shared" si="4"/>
        <v>19246.038391558643</v>
      </c>
      <c r="Q13" s="212">
        <f t="shared" si="4"/>
        <v>24117.054491157687</v>
      </c>
      <c r="R13" s="200"/>
      <c r="T13" s="207"/>
      <c r="U13" s="207"/>
      <c r="V13" s="207"/>
    </row>
    <row r="14" spans="2:22" ht="24.75" customHeight="1">
      <c r="B14" s="200"/>
      <c r="C14" s="213" t="s">
        <v>255</v>
      </c>
      <c r="D14" s="214">
        <f aca="true" t="shared" si="5" ref="D14:Q14">+(D55/D45)*1000</f>
        <v>69818.36592178771</v>
      </c>
      <c r="E14" s="215">
        <f t="shared" si="5"/>
        <v>43578.86101636372</v>
      </c>
      <c r="F14" s="215">
        <f t="shared" si="5"/>
        <v>50379.86427010882</v>
      </c>
      <c r="G14" s="461" t="s">
        <v>506</v>
      </c>
      <c r="H14" s="215">
        <f t="shared" si="5"/>
        <v>44566.19626240098</v>
      </c>
      <c r="I14" s="215">
        <f t="shared" si="5"/>
        <v>31761.305433299873</v>
      </c>
      <c r="J14" s="215">
        <f t="shared" si="5"/>
        <v>34413.52825891202</v>
      </c>
      <c r="K14" s="215">
        <f>+(K55/K45)*1000</f>
        <v>23966.831640184075</v>
      </c>
      <c r="L14" s="215">
        <f>+(L55/L45)*1000</f>
        <v>37605.16240188884</v>
      </c>
      <c r="M14" s="215">
        <f t="shared" si="5"/>
        <v>17596.04818258664</v>
      </c>
      <c r="N14" s="215">
        <f t="shared" si="5"/>
        <v>22269.226294357184</v>
      </c>
      <c r="O14" s="215">
        <f t="shared" si="5"/>
        <v>23394.12658227848</v>
      </c>
      <c r="P14" s="215">
        <f t="shared" si="5"/>
        <v>31868.2664127702</v>
      </c>
      <c r="Q14" s="219">
        <f t="shared" si="5"/>
        <v>45965.548131894706</v>
      </c>
      <c r="R14" s="200"/>
      <c r="T14" s="207"/>
      <c r="U14" s="207"/>
      <c r="V14" s="207"/>
    </row>
    <row r="15" spans="2:22" ht="24.75" customHeight="1">
      <c r="B15" s="216"/>
      <c r="C15" s="217" t="s">
        <v>256</v>
      </c>
      <c r="D15" s="208">
        <f aca="true" t="shared" si="6" ref="D15:Q15">+(D56/D49)*1000</f>
        <v>14445.267330954352</v>
      </c>
      <c r="E15" s="209">
        <f t="shared" si="6"/>
        <v>11130.22011300821</v>
      </c>
      <c r="F15" s="209">
        <f t="shared" si="6"/>
        <v>15357.266773356285</v>
      </c>
      <c r="G15" s="460" t="s">
        <v>506</v>
      </c>
      <c r="H15" s="209">
        <f t="shared" si="6"/>
        <v>12024.512827242306</v>
      </c>
      <c r="I15" s="209">
        <f t="shared" si="6"/>
        <v>13475.939718107582</v>
      </c>
      <c r="J15" s="209">
        <f t="shared" si="6"/>
        <v>15171.142105524395</v>
      </c>
      <c r="K15" s="209">
        <f>+(K56/K49)*1000</f>
        <v>7091.817010309279</v>
      </c>
      <c r="L15" s="209">
        <f>+(L56/L49)*1000</f>
        <v>14713.109466250171</v>
      </c>
      <c r="M15" s="209">
        <f t="shared" si="6"/>
        <v>6243.988352432838</v>
      </c>
      <c r="N15" s="209">
        <f t="shared" si="6"/>
        <v>4759.4146218381375</v>
      </c>
      <c r="O15" s="209">
        <f t="shared" si="6"/>
        <v>6610.801781737194</v>
      </c>
      <c r="P15" s="209">
        <f t="shared" si="6"/>
        <v>9985.264904276451</v>
      </c>
      <c r="Q15" s="212">
        <f t="shared" si="6"/>
        <v>12647.509194500759</v>
      </c>
      <c r="R15" s="200"/>
      <c r="T15" s="207"/>
      <c r="U15" s="207"/>
      <c r="V15" s="207"/>
    </row>
    <row r="16" spans="2:22" ht="24.75" customHeight="1">
      <c r="B16" s="210" t="s">
        <v>257</v>
      </c>
      <c r="C16" s="204"/>
      <c r="D16" s="208">
        <f>+(D60/(D45+D49))*1000</f>
        <v>4812.2627038435185</v>
      </c>
      <c r="E16" s="209">
        <f aca="true" t="shared" si="7" ref="E16:Q16">+(E60/(E45+E49))*1000</f>
        <v>2486.689409552012</v>
      </c>
      <c r="F16" s="209">
        <f t="shared" si="7"/>
        <v>5027.318095003388</v>
      </c>
      <c r="G16" s="460" t="s">
        <v>506</v>
      </c>
      <c r="H16" s="209">
        <f t="shared" si="7"/>
        <v>2059.851657736494</v>
      </c>
      <c r="I16" s="209">
        <f t="shared" si="7"/>
        <v>2944.7106998910526</v>
      </c>
      <c r="J16" s="209">
        <f t="shared" si="7"/>
        <v>4128.893245230089</v>
      </c>
      <c r="K16" s="209">
        <f>+(K60/(K45+K49))*1000</f>
        <v>1641.7509441614072</v>
      </c>
      <c r="L16" s="209">
        <f>+(L60/(L45+L49))*1000</f>
        <v>2593.2783724486408</v>
      </c>
      <c r="M16" s="209">
        <f t="shared" si="7"/>
        <v>1400.8973858759266</v>
      </c>
      <c r="N16" s="209">
        <f t="shared" si="7"/>
        <v>530.3296793193717</v>
      </c>
      <c r="O16" s="209">
        <f t="shared" si="7"/>
        <v>694.8589709842671</v>
      </c>
      <c r="P16" s="209">
        <f t="shared" si="7"/>
        <v>1781.486681314807</v>
      </c>
      <c r="Q16" s="212">
        <f t="shared" si="7"/>
        <v>3386.2834907381134</v>
      </c>
      <c r="R16" s="200"/>
      <c r="T16" s="207"/>
      <c r="U16" s="207"/>
      <c r="V16" s="207"/>
    </row>
    <row r="17" spans="2:22" ht="24.75" customHeight="1">
      <c r="B17" s="200"/>
      <c r="C17" s="218" t="s">
        <v>196</v>
      </c>
      <c r="D17" s="214">
        <f>(+D58/(D45+D49))*1000</f>
        <v>1589.527964230154</v>
      </c>
      <c r="E17" s="215">
        <f aca="true" t="shared" si="8" ref="E17:Q17">(+E58/(E45+E49))*1000</f>
        <v>615.5335240801137</v>
      </c>
      <c r="F17" s="215">
        <f t="shared" si="8"/>
        <v>1576.9576735875794</v>
      </c>
      <c r="G17" s="461" t="s">
        <v>506</v>
      </c>
      <c r="H17" s="215">
        <f t="shared" si="8"/>
        <v>429.3814392787228</v>
      </c>
      <c r="I17" s="215">
        <f t="shared" si="8"/>
        <v>906.3377144727874</v>
      </c>
      <c r="J17" s="215">
        <f t="shared" si="8"/>
        <v>3200.7503422168893</v>
      </c>
      <c r="K17" s="215">
        <f>(+K58/(K45+K49))*1000</f>
        <v>307.3530529997719</v>
      </c>
      <c r="L17" s="215">
        <f>(+L58/(L45+L49))*1000</f>
        <v>253.13033264632227</v>
      </c>
      <c r="M17" s="215">
        <f t="shared" si="8"/>
        <v>616.4000520223696</v>
      </c>
      <c r="N17" s="215">
        <f t="shared" si="8"/>
        <v>128.76308900523563</v>
      </c>
      <c r="O17" s="215">
        <f t="shared" si="8"/>
        <v>299.37027962824226</v>
      </c>
      <c r="P17" s="215">
        <f t="shared" si="8"/>
        <v>414.5192870678746</v>
      </c>
      <c r="Q17" s="219">
        <f t="shared" si="8"/>
        <v>1068.0884767869488</v>
      </c>
      <c r="R17" s="200"/>
      <c r="T17" s="207"/>
      <c r="U17" s="207"/>
      <c r="V17" s="207"/>
    </row>
    <row r="18" spans="2:22" ht="24.75" customHeight="1">
      <c r="B18" s="216"/>
      <c r="C18" s="220" t="s">
        <v>197</v>
      </c>
      <c r="D18" s="208">
        <f>(+D59/(D45+D49))*1000</f>
        <v>3222.734739613363</v>
      </c>
      <c r="E18" s="209">
        <f aca="true" t="shared" si="9" ref="E18:Q18">(+E59/(E45+E49))*1000</f>
        <v>1871.155885471898</v>
      </c>
      <c r="F18" s="209">
        <f t="shared" si="9"/>
        <v>3450.360421415809</v>
      </c>
      <c r="G18" s="460" t="s">
        <v>506</v>
      </c>
      <c r="H18" s="209">
        <f t="shared" si="9"/>
        <v>1630.470218457771</v>
      </c>
      <c r="I18" s="209">
        <f t="shared" si="9"/>
        <v>2038.3729854182654</v>
      </c>
      <c r="J18" s="209">
        <f t="shared" si="9"/>
        <v>928.1429030131985</v>
      </c>
      <c r="K18" s="209">
        <f>(+K59/(K45+K49))*1000</f>
        <v>1334.3978911616355</v>
      </c>
      <c r="L18" s="209">
        <f>(+L59/(L45+L49))*1000</f>
        <v>2340.148039802318</v>
      </c>
      <c r="M18" s="209">
        <f t="shared" si="9"/>
        <v>784.497333853557</v>
      </c>
      <c r="N18" s="209">
        <f t="shared" si="9"/>
        <v>401.5665903141361</v>
      </c>
      <c r="O18" s="209">
        <f t="shared" si="9"/>
        <v>395.4886913560249</v>
      </c>
      <c r="P18" s="209">
        <f t="shared" si="9"/>
        <v>1366.9673942469324</v>
      </c>
      <c r="Q18" s="212">
        <f t="shared" si="9"/>
        <v>2318.195013951165</v>
      </c>
      <c r="R18" s="200"/>
      <c r="T18" s="207"/>
      <c r="U18" s="207"/>
      <c r="V18" s="207"/>
    </row>
    <row r="19" spans="2:22" ht="24.75" customHeight="1">
      <c r="B19" s="203" t="s">
        <v>258</v>
      </c>
      <c r="C19" s="204"/>
      <c r="D19" s="299">
        <f>(D62/D45)*1000</f>
        <v>17.45810055865922</v>
      </c>
      <c r="E19" s="288">
        <f aca="true" t="shared" si="10" ref="E19:Q19">(E62/E45)*1000</f>
        <v>36.09515996718622</v>
      </c>
      <c r="F19" s="288">
        <f t="shared" si="10"/>
        <v>693.7633909253063</v>
      </c>
      <c r="G19" s="462" t="s">
        <v>506</v>
      </c>
      <c r="H19" s="288">
        <f t="shared" si="10"/>
        <v>0</v>
      </c>
      <c r="I19" s="288">
        <f t="shared" si="10"/>
        <v>0</v>
      </c>
      <c r="J19" s="288">
        <f t="shared" si="10"/>
        <v>0</v>
      </c>
      <c r="K19" s="288">
        <f>(K62/K45)*1000</f>
        <v>0</v>
      </c>
      <c r="L19" s="288">
        <f>(L62/L45)*1000</f>
        <v>3.73301001850552</v>
      </c>
      <c r="M19" s="288">
        <f t="shared" si="10"/>
        <v>465.8706677937447</v>
      </c>
      <c r="N19" s="288">
        <f t="shared" si="10"/>
        <v>682.955206515416</v>
      </c>
      <c r="O19" s="288">
        <f t="shared" si="10"/>
        <v>0</v>
      </c>
      <c r="P19" s="288">
        <f t="shared" si="10"/>
        <v>565.7775331379521</v>
      </c>
      <c r="Q19" s="288">
        <f t="shared" si="10"/>
        <v>199.35207829796443</v>
      </c>
      <c r="R19" s="200"/>
      <c r="T19" s="207"/>
      <c r="U19" s="207"/>
      <c r="V19" s="207"/>
    </row>
    <row r="20" spans="2:22" ht="24.75" customHeight="1">
      <c r="B20" s="203" t="s">
        <v>259</v>
      </c>
      <c r="C20" s="204"/>
      <c r="D20" s="205">
        <f>(+D64/D58)*100</f>
        <v>102.56083844930681</v>
      </c>
      <c r="E20" s="206">
        <f aca="true" t="shared" si="11" ref="E20:Q20">(+E64/E58)*100</f>
        <v>97.7847304051034</v>
      </c>
      <c r="F20" s="206">
        <f t="shared" si="11"/>
        <v>108.02976553261759</v>
      </c>
      <c r="G20" s="459" t="s">
        <v>506</v>
      </c>
      <c r="H20" s="206">
        <f t="shared" si="11"/>
        <v>100.45228321284556</v>
      </c>
      <c r="I20" s="206">
        <f t="shared" si="11"/>
        <v>60.02119886070927</v>
      </c>
      <c r="J20" s="206">
        <f t="shared" si="11"/>
        <v>100</v>
      </c>
      <c r="K20" s="206">
        <f>(+K64/K58)*100</f>
        <v>100.54016163615371</v>
      </c>
      <c r="L20" s="206">
        <f>(+L64/L58)*100</f>
        <v>100</v>
      </c>
      <c r="M20" s="206">
        <f t="shared" si="11"/>
        <v>100.81759679291065</v>
      </c>
      <c r="N20" s="206">
        <f t="shared" si="11"/>
        <v>100.04764930114358</v>
      </c>
      <c r="O20" s="206">
        <f t="shared" si="11"/>
        <v>113.44606019614474</v>
      </c>
      <c r="P20" s="206">
        <f t="shared" si="11"/>
        <v>107.4846979845385</v>
      </c>
      <c r="Q20" s="206">
        <f t="shared" si="11"/>
        <v>99.5124002543642</v>
      </c>
      <c r="R20" s="200"/>
      <c r="T20" s="207"/>
      <c r="U20" s="207"/>
      <c r="V20" s="207"/>
    </row>
    <row r="21" spans="2:22" ht="24.75" customHeight="1">
      <c r="B21" s="203" t="s">
        <v>260</v>
      </c>
      <c r="C21" s="204"/>
      <c r="D21" s="205">
        <f>(+D65/D59)*100</f>
        <v>114.37053215274706</v>
      </c>
      <c r="E21" s="206">
        <f aca="true" t="shared" si="12" ref="E21:Q21">(+E65/E59)*100</f>
        <v>74.06021268519063</v>
      </c>
      <c r="F21" s="206">
        <f t="shared" si="12"/>
        <v>108.02995564507489</v>
      </c>
      <c r="G21" s="459" t="s">
        <v>506</v>
      </c>
      <c r="H21" s="206">
        <f t="shared" si="12"/>
        <v>125.93253417777225</v>
      </c>
      <c r="I21" s="206">
        <f t="shared" si="12"/>
        <v>83.60803353273234</v>
      </c>
      <c r="J21" s="206">
        <f t="shared" si="12"/>
        <v>110.9885107700151</v>
      </c>
      <c r="K21" s="206">
        <f>(+K65/K59)*100</f>
        <v>102.54055388823463</v>
      </c>
      <c r="L21" s="206">
        <f>(+L65/L59)*100</f>
        <v>100</v>
      </c>
      <c r="M21" s="206">
        <f t="shared" si="12"/>
        <v>100.02072281167109</v>
      </c>
      <c r="N21" s="206">
        <f t="shared" si="12"/>
        <v>100.01018589253883</v>
      </c>
      <c r="O21" s="206">
        <f t="shared" si="12"/>
        <v>104.13168134343643</v>
      </c>
      <c r="P21" s="206">
        <f t="shared" si="12"/>
        <v>61.13851468048359</v>
      </c>
      <c r="Q21" s="206">
        <f t="shared" si="12"/>
        <v>103.37758747060055</v>
      </c>
      <c r="R21" s="200"/>
      <c r="T21" s="207"/>
      <c r="U21" s="207"/>
      <c r="V21" s="207"/>
    </row>
    <row r="22" spans="2:22" ht="24.75" customHeight="1">
      <c r="B22" s="200" t="s">
        <v>198</v>
      </c>
      <c r="C22" s="218" t="s">
        <v>199</v>
      </c>
      <c r="D22" s="221">
        <f>(SUM(D67:D70)/(D55+D56))*100</f>
        <v>17.56790918450738</v>
      </c>
      <c r="E22" s="222">
        <f aca="true" t="shared" si="13" ref="E22:Q22">(SUM(E67:E70)/(E55+E56))*100</f>
        <v>8.870362507807377</v>
      </c>
      <c r="F22" s="222">
        <f t="shared" si="13"/>
        <v>18.73621186063736</v>
      </c>
      <c r="G22" s="463" t="s">
        <v>506</v>
      </c>
      <c r="H22" s="222">
        <f t="shared" si="13"/>
        <v>9.84972041906994</v>
      </c>
      <c r="I22" s="222">
        <f t="shared" si="13"/>
        <v>10.654347416388404</v>
      </c>
      <c r="J22" s="222">
        <f t="shared" si="13"/>
        <v>19.853623991771606</v>
      </c>
      <c r="K22" s="222">
        <f>(SUM(K67:K70)/(K55+K56))*100</f>
        <v>13.956759880458005</v>
      </c>
      <c r="L22" s="222">
        <f>(SUM(L67:L70)/(L55+L56))*100</f>
        <v>11.442578578406302</v>
      </c>
      <c r="M22" s="222">
        <f t="shared" si="13"/>
        <v>14.440556171446126</v>
      </c>
      <c r="N22" s="222">
        <f t="shared" si="13"/>
        <v>4.859567930149332</v>
      </c>
      <c r="O22" s="222">
        <f t="shared" si="13"/>
        <v>7.539672059208937</v>
      </c>
      <c r="P22" s="222">
        <f t="shared" si="13"/>
        <v>6.65741353484792</v>
      </c>
      <c r="Q22" s="223">
        <f t="shared" si="13"/>
        <v>14.344100601695725</v>
      </c>
      <c r="R22" s="200"/>
      <c r="T22" s="207"/>
      <c r="U22" s="207"/>
      <c r="V22" s="207"/>
    </row>
    <row r="23" spans="2:22" ht="24.75" customHeight="1">
      <c r="B23" s="200" t="s">
        <v>200</v>
      </c>
      <c r="C23" s="218" t="s">
        <v>201</v>
      </c>
      <c r="D23" s="221">
        <f>+((D71+D72)/(D$55+D$56))*100</f>
        <v>10.781685355375066</v>
      </c>
      <c r="E23" s="222">
        <f aca="true" t="shared" si="14" ref="E23:Q23">+((E71+E72)/(E$55+E$56))*100</f>
        <v>8.298409415907805</v>
      </c>
      <c r="F23" s="222">
        <f t="shared" si="14"/>
        <v>8.641589923997232</v>
      </c>
      <c r="G23" s="463" t="s">
        <v>506</v>
      </c>
      <c r="H23" s="222">
        <f t="shared" si="14"/>
        <v>11.703070675152777</v>
      </c>
      <c r="I23" s="222">
        <f t="shared" si="14"/>
        <v>8.45807345719219</v>
      </c>
      <c r="J23" s="222">
        <f t="shared" si="14"/>
        <v>6.676611163054055</v>
      </c>
      <c r="K23" s="222">
        <f>+((K71+K72)/(K$55+K$56))*100</f>
        <v>6.632281822150701</v>
      </c>
      <c r="L23" s="222">
        <f>+((L71+L72)/(L$55+L$56))*100</f>
        <v>9.154336663599445</v>
      </c>
      <c r="M23" s="222">
        <f t="shared" si="14"/>
        <v>8.75228732853384</v>
      </c>
      <c r="N23" s="222">
        <f t="shared" si="14"/>
        <v>7.697063948586311</v>
      </c>
      <c r="O23" s="222">
        <f t="shared" si="14"/>
        <v>15.268079711837926</v>
      </c>
      <c r="P23" s="222">
        <f t="shared" si="14"/>
        <v>6.583320875516809</v>
      </c>
      <c r="Q23" s="224">
        <f t="shared" si="14"/>
        <v>9.471119942887249</v>
      </c>
      <c r="R23" s="200"/>
      <c r="T23" s="207"/>
      <c r="U23" s="207"/>
      <c r="V23" s="207"/>
    </row>
    <row r="24" spans="2:22" ht="24.75" customHeight="1">
      <c r="B24" s="216" t="s">
        <v>202</v>
      </c>
      <c r="C24" s="220" t="s">
        <v>203</v>
      </c>
      <c r="D24" s="205">
        <f>+((D73+D74)/(D$55+D$56))*100</f>
        <v>7.358566210432533</v>
      </c>
      <c r="E24" s="206">
        <f aca="true" t="shared" si="15" ref="E24:Q24">+((E73+E74)/(E$55+E$56))*100</f>
        <v>6.365461551546095</v>
      </c>
      <c r="F24" s="206">
        <f t="shared" si="15"/>
        <v>4.497606218178968</v>
      </c>
      <c r="G24" s="459" t="s">
        <v>506</v>
      </c>
      <c r="H24" s="206">
        <f t="shared" si="15"/>
        <v>8.332176464495463</v>
      </c>
      <c r="I24" s="206">
        <f t="shared" si="15"/>
        <v>5.681486102820537</v>
      </c>
      <c r="J24" s="206">
        <f t="shared" si="15"/>
        <v>5.52379502283507</v>
      </c>
      <c r="K24" s="206">
        <f>+((K73+K74)/(K$55+K$56))*100</f>
        <v>3.4326142113244313</v>
      </c>
      <c r="L24" s="206">
        <f>+((L73+L74)/(L$55+L$56))*100</f>
        <v>10.171898056111578</v>
      </c>
      <c r="M24" s="206">
        <f t="shared" si="15"/>
        <v>3.124123468992507</v>
      </c>
      <c r="N24" s="206">
        <f t="shared" si="15"/>
        <v>4.322946918738642</v>
      </c>
      <c r="O24" s="206">
        <f t="shared" si="15"/>
        <v>5.231165548948343</v>
      </c>
      <c r="P24" s="206">
        <f t="shared" si="15"/>
        <v>3.980918441482992</v>
      </c>
      <c r="Q24" s="206">
        <f t="shared" si="15"/>
        <v>6.390400940535251</v>
      </c>
      <c r="R24" s="200"/>
      <c r="T24" s="207"/>
      <c r="U24" s="207"/>
      <c r="V24" s="207"/>
    </row>
    <row r="25" spans="2:22" ht="24.75" customHeight="1">
      <c r="B25" s="225" t="s">
        <v>261</v>
      </c>
      <c r="C25" s="226"/>
      <c r="D25" s="221">
        <f>+(D76/D$54)*100</f>
        <v>43.26460924842304</v>
      </c>
      <c r="E25" s="222">
        <f aca="true" t="shared" si="16" ref="E25:Q25">+(E76/E54)*100</f>
        <v>69.1755428547248</v>
      </c>
      <c r="F25" s="222">
        <f t="shared" si="16"/>
        <v>50.7280163232545</v>
      </c>
      <c r="G25" s="463" t="s">
        <v>506</v>
      </c>
      <c r="H25" s="222">
        <f t="shared" si="16"/>
        <v>61.57879924269394</v>
      </c>
      <c r="I25" s="222">
        <f t="shared" si="16"/>
        <v>56.07656339823207</v>
      </c>
      <c r="J25" s="222">
        <f t="shared" si="16"/>
        <v>62.64562915260188</v>
      </c>
      <c r="K25" s="222">
        <f>+(K76/K54)*100</f>
        <v>90.15273611356194</v>
      </c>
      <c r="L25" s="222">
        <f>+(L76/L54)*100</f>
        <v>81.51335219088469</v>
      </c>
      <c r="M25" s="222">
        <f t="shared" si="16"/>
        <v>97.86693359788123</v>
      </c>
      <c r="N25" s="222">
        <f t="shared" si="16"/>
        <v>61.47975153288717</v>
      </c>
      <c r="O25" s="222">
        <f t="shared" si="16"/>
        <v>72.6096833593531</v>
      </c>
      <c r="P25" s="222">
        <f t="shared" si="16"/>
        <v>61.584437758768196</v>
      </c>
      <c r="Q25" s="223">
        <f t="shared" si="16"/>
        <v>55.51057859643053</v>
      </c>
      <c r="R25" s="227"/>
      <c r="T25" s="207"/>
      <c r="U25" s="207"/>
      <c r="V25" s="207"/>
    </row>
    <row r="26" spans="2:22" ht="24.75" customHeight="1">
      <c r="B26" s="225" t="s">
        <v>262</v>
      </c>
      <c r="C26" s="226"/>
      <c r="D26" s="221">
        <f>+(D77/D$54)*100</f>
        <v>28.791693612347167</v>
      </c>
      <c r="E26" s="222">
        <f aca="true" t="shared" si="17" ref="E26:Q26">+(E77/E$54)*100</f>
        <v>20.985065518433757</v>
      </c>
      <c r="F26" s="222">
        <f t="shared" si="17"/>
        <v>26.810504199073094</v>
      </c>
      <c r="G26" s="463" t="s">
        <v>506</v>
      </c>
      <c r="H26" s="222">
        <f t="shared" si="17"/>
        <v>20.290678149971043</v>
      </c>
      <c r="I26" s="222">
        <f t="shared" si="17"/>
        <v>24.678346796087027</v>
      </c>
      <c r="J26" s="222">
        <f t="shared" si="17"/>
        <v>24.872430447951842</v>
      </c>
      <c r="K26" s="222">
        <f>+(K77/K$54)*100</f>
        <v>20.361841460306255</v>
      </c>
      <c r="L26" s="222">
        <f>+(L77/L$54)*100</f>
        <v>22.976954814319384</v>
      </c>
      <c r="M26" s="222">
        <f t="shared" si="17"/>
        <v>17.29988351550793</v>
      </c>
      <c r="N26" s="222">
        <f t="shared" si="17"/>
        <v>9.978582148228895</v>
      </c>
      <c r="O26" s="222">
        <f t="shared" si="17"/>
        <v>9.028027967922288</v>
      </c>
      <c r="P26" s="222">
        <f t="shared" si="17"/>
        <v>17.571810668522616</v>
      </c>
      <c r="Q26" s="224">
        <f t="shared" si="17"/>
        <v>24.688296669814548</v>
      </c>
      <c r="R26" s="227"/>
      <c r="T26" s="207"/>
      <c r="U26" s="207"/>
      <c r="V26" s="207"/>
    </row>
    <row r="27" spans="2:22" ht="24.75" customHeight="1">
      <c r="B27" s="281" t="s">
        <v>263</v>
      </c>
      <c r="C27" s="204"/>
      <c r="D27" s="205">
        <f>+(D78/D$54)*100</f>
        <v>15.493671914686988</v>
      </c>
      <c r="E27" s="206">
        <f aca="true" t="shared" si="18" ref="E27:Q27">+(E78/E$54)*100</f>
        <v>10.312046177681685</v>
      </c>
      <c r="F27" s="206">
        <f t="shared" si="18"/>
        <v>16.880087656814467</v>
      </c>
      <c r="G27" s="459" t="s">
        <v>506</v>
      </c>
      <c r="H27" s="206">
        <f t="shared" si="18"/>
        <v>7.403412362343029</v>
      </c>
      <c r="I27" s="206">
        <f t="shared" si="18"/>
        <v>13.264160549320964</v>
      </c>
      <c r="J27" s="206">
        <f t="shared" si="18"/>
        <v>18.01859539635983</v>
      </c>
      <c r="K27" s="206">
        <f>+(K78/K$54)*100</f>
        <v>12.699645118914574</v>
      </c>
      <c r="L27" s="206">
        <f>+(L78/L$54)*100</f>
        <v>9.856959464126568</v>
      </c>
      <c r="M27" s="206">
        <f t="shared" si="18"/>
        <v>12.835935614761057</v>
      </c>
      <c r="N27" s="206">
        <f t="shared" si="18"/>
        <v>4.3288099320070845</v>
      </c>
      <c r="O27" s="206">
        <f t="shared" si="18"/>
        <v>5.723850126095833</v>
      </c>
      <c r="P27" s="206">
        <f t="shared" si="18"/>
        <v>8.683380038960225</v>
      </c>
      <c r="Q27" s="206">
        <f t="shared" si="18"/>
        <v>13.309551087138932</v>
      </c>
      <c r="R27" s="227"/>
      <c r="T27" s="207"/>
      <c r="U27" s="207"/>
      <c r="V27" s="207"/>
    </row>
    <row r="28" spans="2:22" ht="24.75" customHeight="1">
      <c r="B28" s="203" t="s">
        <v>264</v>
      </c>
      <c r="C28" s="204"/>
      <c r="D28" s="208">
        <f>+((D$55+D$56)/D80)*1000</f>
        <v>317740.33317467873</v>
      </c>
      <c r="E28" s="209">
        <f aca="true" t="shared" si="19" ref="E28:Q28">+((E$55+E$56)/E80)*1000</f>
        <v>279198.37955749454</v>
      </c>
      <c r="F28" s="209">
        <f t="shared" si="19"/>
        <v>390615.09935241047</v>
      </c>
      <c r="G28" s="460" t="s">
        <v>506</v>
      </c>
      <c r="H28" s="209">
        <f t="shared" si="19"/>
        <v>268473.89391549764</v>
      </c>
      <c r="I28" s="209">
        <f t="shared" si="19"/>
        <v>716182.3315118398</v>
      </c>
      <c r="J28" s="209">
        <f t="shared" si="19"/>
        <v>508057.61482675263</v>
      </c>
      <c r="K28" s="209">
        <f>+((K$55+K$56)/K80)*1000</f>
        <v>279565.44811320753</v>
      </c>
      <c r="L28" s="209">
        <f>+((L$55+L$56)/L80)*1000</f>
        <v>373294.76181785</v>
      </c>
      <c r="M28" s="209">
        <f t="shared" si="19"/>
        <v>256400.68493150687</v>
      </c>
      <c r="N28" s="209">
        <f t="shared" si="19"/>
        <v>338433.7349397591</v>
      </c>
      <c r="O28" s="209">
        <f t="shared" si="19"/>
        <v>214010</v>
      </c>
      <c r="P28" s="209">
        <f t="shared" si="19"/>
        <v>353041.11329252797</v>
      </c>
      <c r="Q28" s="228">
        <f t="shared" si="19"/>
        <v>340703.05886358535</v>
      </c>
      <c r="R28" s="200"/>
      <c r="T28" s="207"/>
      <c r="U28" s="207"/>
      <c r="V28" s="207"/>
    </row>
    <row r="29" spans="2:22" ht="24.75" customHeight="1">
      <c r="B29" s="203" t="s">
        <v>265</v>
      </c>
      <c r="C29" s="204"/>
      <c r="D29" s="208">
        <f>+((D$55+D$56)/D81)*1000</f>
        <v>91823.62423935649</v>
      </c>
      <c r="E29" s="209">
        <f aca="true" t="shared" si="20" ref="E29:Q29">+((E$55+E$56)/E81)*1000</f>
        <v>49984.245115651116</v>
      </c>
      <c r="F29" s="209">
        <f t="shared" si="20"/>
        <v>62894.85504469418</v>
      </c>
      <c r="G29" s="460" t="s">
        <v>506</v>
      </c>
      <c r="H29" s="209">
        <f t="shared" si="20"/>
        <v>49970.72183425005</v>
      </c>
      <c r="I29" s="209">
        <f t="shared" si="20"/>
        <v>50514.42777121127</v>
      </c>
      <c r="J29" s="209">
        <f t="shared" si="20"/>
        <v>48481.314878892736</v>
      </c>
      <c r="K29" s="209">
        <f>+((K$55+K$56)/K81)*1000</f>
        <v>32340.42698315258</v>
      </c>
      <c r="L29" s="209">
        <f>+((L$55+L$56)/L81)*1000</f>
        <v>43606.63497004456</v>
      </c>
      <c r="M29" s="209">
        <f t="shared" si="20"/>
        <v>35673.13877307922</v>
      </c>
      <c r="N29" s="209">
        <f t="shared" si="20"/>
        <v>35319.30381841043</v>
      </c>
      <c r="O29" s="209">
        <f t="shared" si="20"/>
        <v>36347.8806675528</v>
      </c>
      <c r="P29" s="209">
        <f t="shared" si="20"/>
        <v>42525.42915171243</v>
      </c>
      <c r="Q29" s="228">
        <f t="shared" si="20"/>
        <v>59716.01884138758</v>
      </c>
      <c r="R29" s="200"/>
      <c r="T29" s="207"/>
      <c r="U29" s="207"/>
      <c r="V29" s="207"/>
    </row>
    <row r="30" spans="2:22" s="234" customFormat="1" ht="24.75" customHeight="1">
      <c r="B30" s="229" t="s">
        <v>266</v>
      </c>
      <c r="C30" s="230"/>
      <c r="D30" s="231">
        <f>+((D83+D84)/D85)*100</f>
        <v>55.94117409082693</v>
      </c>
      <c r="E30" s="232">
        <f aca="true" t="shared" si="21" ref="E30:Q30">+((E83+E84)/E85)*100</f>
        <v>63.26332348180718</v>
      </c>
      <c r="F30" s="232">
        <f t="shared" si="21"/>
        <v>20.770059966022465</v>
      </c>
      <c r="G30" s="464" t="s">
        <v>506</v>
      </c>
      <c r="H30" s="232">
        <f t="shared" si="21"/>
        <v>-22.743107816111486</v>
      </c>
      <c r="I30" s="232">
        <f t="shared" si="21"/>
        <v>17.582672428310683</v>
      </c>
      <c r="J30" s="232">
        <f t="shared" si="21"/>
        <v>81.66499424190285</v>
      </c>
      <c r="K30" s="282">
        <f>+((K83+K84)/K85)*100</f>
        <v>38.00985336078848</v>
      </c>
      <c r="L30" s="232">
        <f>+((L83+L84)/L85)*100</f>
        <v>28.91141340368324</v>
      </c>
      <c r="M30" s="232">
        <f t="shared" si="21"/>
        <v>80.09430551288987</v>
      </c>
      <c r="N30" s="232">
        <f t="shared" si="21"/>
        <v>52.403362303251065</v>
      </c>
      <c r="O30" s="232">
        <f t="shared" si="21"/>
        <v>33.635469796595586</v>
      </c>
      <c r="P30" s="232">
        <f t="shared" si="21"/>
        <v>58.7329907904478</v>
      </c>
      <c r="Q30" s="232">
        <f t="shared" si="21"/>
        <v>40.46631681062004</v>
      </c>
      <c r="R30" s="233"/>
      <c r="T30" s="235"/>
      <c r="U30" s="235"/>
      <c r="V30" s="235"/>
    </row>
    <row r="31" spans="2:22" s="234" customFormat="1" ht="24.75" customHeight="1">
      <c r="B31" s="229" t="s">
        <v>267</v>
      </c>
      <c r="C31" s="230"/>
      <c r="D31" s="231">
        <f>+((D86)/(D87+D90))*100</f>
        <v>63.66731141137758</v>
      </c>
      <c r="E31" s="232">
        <f aca="true" t="shared" si="22" ref="E31:Q31">+((E86)/(E87+E90))*100</f>
        <v>94.97623587039362</v>
      </c>
      <c r="F31" s="232">
        <f t="shared" si="22"/>
        <v>84.62098294887284</v>
      </c>
      <c r="G31" s="464" t="s">
        <v>506</v>
      </c>
      <c r="H31" s="232">
        <f t="shared" si="22"/>
        <v>99.51963642234224</v>
      </c>
      <c r="I31" s="232">
        <f t="shared" si="22"/>
        <v>87.5262572050825</v>
      </c>
      <c r="J31" s="232">
        <f t="shared" si="22"/>
        <v>80.56369462298998</v>
      </c>
      <c r="K31" s="282">
        <f>+((K86)/(K87+K90))*100</f>
        <v>94.86564999395665</v>
      </c>
      <c r="L31" s="232">
        <f>+((L86)/(L87+L90))*100</f>
        <v>94.04185105189957</v>
      </c>
      <c r="M31" s="232">
        <f t="shared" si="22"/>
        <v>51.553864200561975</v>
      </c>
      <c r="N31" s="232">
        <f t="shared" si="22"/>
        <v>68.68112002542674</v>
      </c>
      <c r="O31" s="232">
        <f t="shared" si="22"/>
        <v>72.23547025945932</v>
      </c>
      <c r="P31" s="232">
        <f t="shared" si="22"/>
        <v>73.57076252051654</v>
      </c>
      <c r="Q31" s="232">
        <f t="shared" si="22"/>
        <v>77.7616255762941</v>
      </c>
      <c r="R31" s="233"/>
      <c r="T31" s="235"/>
      <c r="U31" s="235"/>
      <c r="V31" s="236"/>
    </row>
    <row r="32" spans="2:22" s="234" customFormat="1" ht="24.75" customHeight="1">
      <c r="B32" s="229" t="s">
        <v>268</v>
      </c>
      <c r="C32" s="230"/>
      <c r="D32" s="231">
        <f>+(D86/(D83+D84))*100</f>
        <v>106.33820520457276</v>
      </c>
      <c r="E32" s="232">
        <f aca="true" t="shared" si="23" ref="E32:Q32">+(E86/(E83+E84))*100</f>
        <v>109.63318424206878</v>
      </c>
      <c r="F32" s="232">
        <f>+(F86/(F83+F84))*100</f>
        <v>386.5914217839176</v>
      </c>
      <c r="G32" s="464" t="s">
        <v>506</v>
      </c>
      <c r="H32" s="232">
        <f t="shared" si="23"/>
        <v>-388.910359495037</v>
      </c>
      <c r="I32" s="232">
        <f t="shared" si="23"/>
        <v>428.3798411864044</v>
      </c>
      <c r="J32" s="232">
        <f t="shared" si="23"/>
        <v>91.62052965509768</v>
      </c>
      <c r="K32" s="282">
        <f>+(K86/(K83+K84))*100</f>
        <v>238.8642403140818</v>
      </c>
      <c r="L32" s="232">
        <f>+(L86/(L83+L84))*100</f>
        <v>262.9326776941425</v>
      </c>
      <c r="M32" s="232">
        <f t="shared" si="23"/>
        <v>64.14300236402607</v>
      </c>
      <c r="N32" s="232">
        <f t="shared" si="23"/>
        <v>128.2535844244705</v>
      </c>
      <c r="O32" s="232">
        <f t="shared" si="23"/>
        <v>206.8845077082628</v>
      </c>
      <c r="P32" s="232">
        <f t="shared" si="23"/>
        <v>121.30482291286324</v>
      </c>
      <c r="Q32" s="232">
        <f t="shared" si="23"/>
        <v>175.26280909418475</v>
      </c>
      <c r="R32" s="233"/>
      <c r="T32" s="235"/>
      <c r="U32" s="235"/>
      <c r="V32" s="235"/>
    </row>
    <row r="33" spans="2:22" s="234" customFormat="1" ht="24.75" customHeight="1">
      <c r="B33" s="229" t="s">
        <v>269</v>
      </c>
      <c r="C33" s="230"/>
      <c r="D33" s="231">
        <f>(+D88/D89)*100</f>
        <v>573.353317106645</v>
      </c>
      <c r="E33" s="232">
        <f aca="true" t="shared" si="24" ref="E33:Q33">(+E88/E89)*100</f>
        <v>113.60088609253725</v>
      </c>
      <c r="F33" s="232">
        <f t="shared" si="24"/>
        <v>385.47025185545687</v>
      </c>
      <c r="G33" s="464" t="s">
        <v>506</v>
      </c>
      <c r="H33" s="232">
        <f t="shared" si="24"/>
        <v>103.83837938955894</v>
      </c>
      <c r="I33" s="232">
        <f t="shared" si="24"/>
        <v>173.2023610254603</v>
      </c>
      <c r="J33" s="232">
        <f t="shared" si="24"/>
        <v>346.0500671315345</v>
      </c>
      <c r="K33" s="282">
        <f>(+K88/K89)*100</f>
        <v>214.43094675350144</v>
      </c>
      <c r="L33" s="232">
        <f>(+L88/L89)*100</f>
        <v>125.12851902714033</v>
      </c>
      <c r="M33" s="232">
        <f t="shared" si="24"/>
        <v>14006.695379796398</v>
      </c>
      <c r="N33" s="232">
        <f t="shared" si="24"/>
        <v>1418.2990589055419</v>
      </c>
      <c r="O33" s="232">
        <f t="shared" si="24"/>
        <v>829.3755236827839</v>
      </c>
      <c r="P33" s="232">
        <f t="shared" si="24"/>
        <v>872.7409575927943</v>
      </c>
      <c r="Q33" s="232">
        <f t="shared" si="24"/>
        <v>316.32853989307387</v>
      </c>
      <c r="R33" s="233"/>
      <c r="T33" s="235"/>
      <c r="U33" s="235"/>
      <c r="V33" s="235"/>
    </row>
    <row r="34" spans="2:22" s="234" customFormat="1" ht="24.75" customHeight="1">
      <c r="B34" s="229" t="s">
        <v>270</v>
      </c>
      <c r="C34" s="230"/>
      <c r="D34" s="231">
        <f>(+D92/D93)*100</f>
        <v>101.79362592401795</v>
      </c>
      <c r="E34" s="232">
        <f aca="true" t="shared" si="25" ref="E34:Q34">(+E92/E93)*100</f>
        <v>100.2798396183236</v>
      </c>
      <c r="F34" s="232">
        <f t="shared" si="25"/>
        <v>102.6357065756051</v>
      </c>
      <c r="G34" s="464" t="s">
        <v>506</v>
      </c>
      <c r="H34" s="232">
        <f t="shared" si="25"/>
        <v>93.90934622119809</v>
      </c>
      <c r="I34" s="232">
        <f t="shared" si="25"/>
        <v>94.97959342959363</v>
      </c>
      <c r="J34" s="232">
        <f t="shared" si="25"/>
        <v>91.66469533586009</v>
      </c>
      <c r="K34" s="232">
        <f>(+K92/K93)*100</f>
        <v>90.31997097196586</v>
      </c>
      <c r="L34" s="232">
        <f>(+L92/L93)*100</f>
        <v>98.54089598277</v>
      </c>
      <c r="M34" s="232">
        <f t="shared" si="25"/>
        <v>101.11486431622197</v>
      </c>
      <c r="N34" s="232">
        <f t="shared" si="25"/>
        <v>104.12480152823261</v>
      </c>
      <c r="O34" s="232">
        <f t="shared" si="25"/>
        <v>98.80152182901863</v>
      </c>
      <c r="P34" s="232">
        <f t="shared" si="25"/>
        <v>97.19726758635525</v>
      </c>
      <c r="Q34" s="232">
        <f t="shared" si="25"/>
        <v>99.16451571895483</v>
      </c>
      <c r="R34" s="233"/>
      <c r="T34" s="235"/>
      <c r="U34" s="235"/>
      <c r="V34" s="235"/>
    </row>
    <row r="35" spans="2:22" s="234" customFormat="1" ht="24.75" customHeight="1">
      <c r="B35" s="229" t="s">
        <v>271</v>
      </c>
      <c r="C35" s="230"/>
      <c r="D35" s="231">
        <f>+((D94+D96)/(D95+D97))*100</f>
        <v>102.08397758120857</v>
      </c>
      <c r="E35" s="232">
        <f aca="true" t="shared" si="26" ref="E35:Q35">+((E94+E96)/(E95+E97))*100</f>
        <v>100.302562942333</v>
      </c>
      <c r="F35" s="232">
        <f t="shared" si="26"/>
        <v>102.66140322697711</v>
      </c>
      <c r="G35" s="464" t="s">
        <v>506</v>
      </c>
      <c r="H35" s="232">
        <f t="shared" si="26"/>
        <v>92.25133738801657</v>
      </c>
      <c r="I35" s="232">
        <f t="shared" si="26"/>
        <v>95.01609890908578</v>
      </c>
      <c r="J35" s="232">
        <f t="shared" si="26"/>
        <v>91.92262183050221</v>
      </c>
      <c r="K35" s="232">
        <f>+((K94+K96)/(K95+K97))*100</f>
        <v>91.3334396936822</v>
      </c>
      <c r="L35" s="232">
        <f>+((L94+L96)/(L95+L97))*100</f>
        <v>98.35162168704218</v>
      </c>
      <c r="M35" s="232">
        <f t="shared" si="26"/>
        <v>101.11486431622197</v>
      </c>
      <c r="N35" s="232">
        <f t="shared" si="26"/>
        <v>104.12480152823261</v>
      </c>
      <c r="O35" s="232">
        <f t="shared" si="26"/>
        <v>98.80152182901863</v>
      </c>
      <c r="P35" s="232">
        <f t="shared" si="26"/>
        <v>97.19726758635525</v>
      </c>
      <c r="Q35" s="232">
        <f t="shared" si="26"/>
        <v>99.143121193255</v>
      </c>
      <c r="R35" s="233"/>
      <c r="T35" s="235"/>
      <c r="U35" s="235"/>
      <c r="V35" s="235"/>
    </row>
    <row r="36" spans="2:22" s="234" customFormat="1" ht="24.75" customHeight="1">
      <c r="B36" s="229" t="s">
        <v>272</v>
      </c>
      <c r="C36" s="230"/>
      <c r="D36" s="231">
        <f>(+D94/D95)*100</f>
        <v>101.9116879779116</v>
      </c>
      <c r="E36" s="232">
        <f aca="true" t="shared" si="27" ref="E36:Q36">(+E94/E95)*100</f>
        <v>87.73722603825463</v>
      </c>
      <c r="F36" s="232">
        <f t="shared" si="27"/>
        <v>100.46215886394016</v>
      </c>
      <c r="G36" s="464" t="s">
        <v>506</v>
      </c>
      <c r="H36" s="232">
        <f t="shared" si="27"/>
        <v>83.97422241535037</v>
      </c>
      <c r="I36" s="232">
        <f t="shared" si="27"/>
        <v>95.85216616360823</v>
      </c>
      <c r="J36" s="232">
        <f t="shared" si="27"/>
        <v>81.33203371022404</v>
      </c>
      <c r="K36" s="232">
        <f>(+K94/K95)*100</f>
        <v>66.3188383183312</v>
      </c>
      <c r="L36" s="232">
        <f>(+L94/L95)*100</f>
        <v>73.023165549361</v>
      </c>
      <c r="M36" s="232">
        <f t="shared" si="27"/>
        <v>69.34022190226136</v>
      </c>
      <c r="N36" s="232">
        <f t="shared" si="27"/>
        <v>97.06550993853936</v>
      </c>
      <c r="O36" s="232">
        <f t="shared" si="27"/>
        <v>77.0950108593759</v>
      </c>
      <c r="P36" s="232">
        <f t="shared" si="27"/>
        <v>91.45841104065647</v>
      </c>
      <c r="Q36" s="232">
        <f t="shared" si="27"/>
        <v>92.92902781169728</v>
      </c>
      <c r="R36" s="233"/>
      <c r="T36" s="235"/>
      <c r="U36" s="235"/>
      <c r="V36" s="235"/>
    </row>
    <row r="37" spans="2:22" s="234" customFormat="1" ht="24.75" customHeight="1">
      <c r="B37" s="229" t="s">
        <v>273</v>
      </c>
      <c r="C37" s="230"/>
      <c r="D37" s="237">
        <f>(+D98/D94)*100</f>
        <v>11.485637422036548</v>
      </c>
      <c r="E37" s="232">
        <f aca="true" t="shared" si="28" ref="E37:Q37">(+E98/E94)*100</f>
        <v>75.65049118859987</v>
      </c>
      <c r="F37" s="232">
        <f t="shared" si="28"/>
        <v>100.55550920182787</v>
      </c>
      <c r="G37" s="464" t="s">
        <v>506</v>
      </c>
      <c r="H37" s="232">
        <f t="shared" si="28"/>
        <v>268.9139822985035</v>
      </c>
      <c r="I37" s="232">
        <f t="shared" si="28"/>
        <v>108.19886293035967</v>
      </c>
      <c r="J37" s="232">
        <f t="shared" si="28"/>
        <v>17.202769765628975</v>
      </c>
      <c r="K37" s="232">
        <f>(+K98/K94)*100</f>
        <v>48.76683724486795</v>
      </c>
      <c r="L37" s="232">
        <f>(+L98/L94)*100</f>
        <v>134.4566717151892</v>
      </c>
      <c r="M37" s="238">
        <f>(+M98/M94)*100</f>
        <v>18.665224761445124</v>
      </c>
      <c r="N37" s="232">
        <f t="shared" si="28"/>
        <v>0</v>
      </c>
      <c r="O37" s="232">
        <f t="shared" si="28"/>
        <v>165.2315759977583</v>
      </c>
      <c r="P37" s="232">
        <f t="shared" si="28"/>
        <v>5.362063738144075</v>
      </c>
      <c r="Q37" s="239">
        <f t="shared" si="28"/>
        <v>69.16340566788911</v>
      </c>
      <c r="R37" s="233"/>
      <c r="T37" s="235"/>
      <c r="U37" s="235"/>
      <c r="V37" s="235"/>
    </row>
    <row r="38" spans="2:22" s="234" customFormat="1" ht="24.75" customHeight="1">
      <c r="B38" s="229" t="s">
        <v>274</v>
      </c>
      <c r="C38" s="230"/>
      <c r="D38" s="283">
        <f>IF(D99=0,0,ROUNDDOWN((D99/D94)*100,1))</f>
        <v>0</v>
      </c>
      <c r="E38" s="284">
        <f>IF(E99=0,0,ROUNDDOWN((E99/E94)*100,1))</f>
        <v>0</v>
      </c>
      <c r="F38" s="284">
        <f aca="true" t="shared" si="29" ref="F38:Q38">IF(F99=0,0,ROUNDDOWN((F99/F94)*100,1))</f>
        <v>0</v>
      </c>
      <c r="G38" s="465" t="s">
        <v>506</v>
      </c>
      <c r="H38" s="284">
        <f>IF(H99=0,0,ROUNDDOWN((H99/H94)*100,1))</f>
        <v>0</v>
      </c>
      <c r="I38" s="285">
        <f t="shared" si="29"/>
        <v>0</v>
      </c>
      <c r="J38" s="285">
        <f t="shared" si="29"/>
        <v>0</v>
      </c>
      <c r="K38" s="286">
        <f t="shared" si="29"/>
        <v>0</v>
      </c>
      <c r="L38" s="285">
        <f t="shared" si="29"/>
        <v>0</v>
      </c>
      <c r="M38" s="285">
        <f t="shared" si="29"/>
        <v>0</v>
      </c>
      <c r="N38" s="285">
        <f t="shared" si="29"/>
        <v>0</v>
      </c>
      <c r="O38" s="285">
        <f t="shared" si="29"/>
        <v>0</v>
      </c>
      <c r="P38" s="285">
        <f t="shared" si="29"/>
        <v>0</v>
      </c>
      <c r="Q38" s="287">
        <f t="shared" si="29"/>
        <v>0</v>
      </c>
      <c r="R38" s="233"/>
      <c r="T38" s="235"/>
      <c r="U38" s="235"/>
      <c r="V38" s="235"/>
    </row>
    <row r="39" spans="2:22" s="234" customFormat="1" ht="24.75" customHeight="1">
      <c r="B39" s="229" t="s">
        <v>275</v>
      </c>
      <c r="C39" s="230"/>
      <c r="D39" s="231">
        <f>((D105+D106)/SUM(D101:D104))*100</f>
        <v>1.0401887804464098</v>
      </c>
      <c r="E39" s="232">
        <f aca="true" t="shared" si="30" ref="E39:P39">((E105+E106)/SUM(E101:E104))*100</f>
        <v>1.8646951059931953</v>
      </c>
      <c r="F39" s="232">
        <f t="shared" si="30"/>
        <v>3.580105795396322</v>
      </c>
      <c r="G39" s="464" t="s">
        <v>506</v>
      </c>
      <c r="H39" s="232">
        <f>((H105+H106)/SUM(H101:H104))*100</f>
        <v>2.579545233888037</v>
      </c>
      <c r="I39" s="232">
        <f t="shared" si="30"/>
        <v>2.899803271701737</v>
      </c>
      <c r="J39" s="232">
        <f t="shared" si="30"/>
        <v>6.607714163748113</v>
      </c>
      <c r="K39" s="282">
        <f>((K105+K106)/SUM(K101:K104))*100</f>
        <v>2.1358410280917246</v>
      </c>
      <c r="L39" s="232">
        <f>((L105+L106)/SUM(L101:L104))*100</f>
        <v>1.506135598477231</v>
      </c>
      <c r="M39" s="232">
        <f t="shared" si="30"/>
        <v>2.202361509753911</v>
      </c>
      <c r="N39" s="232">
        <f t="shared" si="30"/>
        <v>2.151850130951652</v>
      </c>
      <c r="O39" s="232">
        <f t="shared" si="30"/>
        <v>1.4113821513199998</v>
      </c>
      <c r="P39" s="232">
        <f t="shared" si="30"/>
        <v>1.7683827896617728</v>
      </c>
      <c r="Q39" s="232">
        <f>((Q105+Q106)/SUM(Q101:Q104))*100</f>
        <v>2.3126826590769936</v>
      </c>
      <c r="R39" s="233"/>
      <c r="T39" s="235"/>
      <c r="U39" s="235"/>
      <c r="V39" s="235"/>
    </row>
    <row r="40" spans="2:22" s="234" customFormat="1" ht="24.75" customHeight="1">
      <c r="B40" s="402" t="s">
        <v>276</v>
      </c>
      <c r="C40" s="401"/>
      <c r="D40" s="403">
        <f>D104+D101</f>
        <v>8637759</v>
      </c>
      <c r="E40" s="404">
        <f aca="true" t="shared" si="31" ref="E40:P40">E104+E101</f>
        <v>433632</v>
      </c>
      <c r="F40" s="404">
        <f t="shared" si="31"/>
        <v>6989151</v>
      </c>
      <c r="G40" s="404">
        <v>114712</v>
      </c>
      <c r="H40" s="404">
        <f t="shared" si="31"/>
        <v>7952325</v>
      </c>
      <c r="I40" s="404">
        <f t="shared" si="31"/>
        <v>3622763</v>
      </c>
      <c r="J40" s="404">
        <f t="shared" si="31"/>
        <v>435718</v>
      </c>
      <c r="K40" s="405">
        <f t="shared" si="31"/>
        <v>1301786</v>
      </c>
      <c r="L40" s="404">
        <f t="shared" si="31"/>
        <v>1798788</v>
      </c>
      <c r="M40" s="404">
        <f t="shared" si="31"/>
        <v>143891</v>
      </c>
      <c r="N40" s="404">
        <f t="shared" si="31"/>
        <v>669331</v>
      </c>
      <c r="O40" s="404">
        <f t="shared" si="31"/>
        <v>299394</v>
      </c>
      <c r="P40" s="404">
        <f t="shared" si="31"/>
        <v>2887497</v>
      </c>
      <c r="Q40" s="404">
        <f>SUM(D40:P40)</f>
        <v>35286747</v>
      </c>
      <c r="R40" s="233"/>
      <c r="T40" s="235"/>
      <c r="U40" s="235"/>
      <c r="V40" s="235"/>
    </row>
    <row r="41" spans="2:22" s="234" customFormat="1" ht="24.75" customHeight="1">
      <c r="B41" s="406" t="s">
        <v>485</v>
      </c>
      <c r="C41" s="407"/>
      <c r="D41" s="431">
        <v>0</v>
      </c>
      <c r="E41" s="432"/>
      <c r="F41" s="432">
        <v>0</v>
      </c>
      <c r="G41" s="481" t="s">
        <v>506</v>
      </c>
      <c r="H41" s="432"/>
      <c r="I41" s="432">
        <v>0</v>
      </c>
      <c r="J41" s="432">
        <v>0</v>
      </c>
      <c r="K41" s="432"/>
      <c r="L41" s="432"/>
      <c r="M41" s="432">
        <v>0</v>
      </c>
      <c r="N41" s="432">
        <v>0</v>
      </c>
      <c r="O41" s="432">
        <v>0</v>
      </c>
      <c r="P41" s="432">
        <v>0</v>
      </c>
      <c r="Q41" s="408">
        <f>SUM(D41:P41)</f>
        <v>0</v>
      </c>
      <c r="R41" s="233"/>
      <c r="T41" s="235"/>
      <c r="U41" s="235"/>
      <c r="V41" s="235"/>
    </row>
    <row r="42" spans="2:22" s="234" customFormat="1" ht="24.75" customHeight="1" thickBot="1">
      <c r="B42" s="409" t="s">
        <v>486</v>
      </c>
      <c r="C42" s="410"/>
      <c r="D42" s="411">
        <f>IF(D41=0,0,ROUNDDOWN((D41/D94)*100,1))</f>
        <v>0</v>
      </c>
      <c r="E42" s="483">
        <f>IF(E41=0,0,ROUNDDOWN((E41/E94)*100,1))</f>
        <v>0</v>
      </c>
      <c r="F42" s="412">
        <f aca="true" t="shared" si="32" ref="F42:P42">IF(F41=0,0,ROUNDDOWN((F41/F94)*100,1))</f>
        <v>0</v>
      </c>
      <c r="G42" s="482" t="s">
        <v>506</v>
      </c>
      <c r="H42" s="412">
        <f t="shared" si="32"/>
        <v>0</v>
      </c>
      <c r="I42" s="412">
        <f t="shared" si="32"/>
        <v>0</v>
      </c>
      <c r="J42" s="412">
        <f t="shared" si="32"/>
        <v>0</v>
      </c>
      <c r="K42" s="412">
        <f t="shared" si="32"/>
        <v>0</v>
      </c>
      <c r="L42" s="412">
        <f t="shared" si="32"/>
        <v>0</v>
      </c>
      <c r="M42" s="412">
        <f t="shared" si="32"/>
        <v>0</v>
      </c>
      <c r="N42" s="412">
        <f t="shared" si="32"/>
        <v>0</v>
      </c>
      <c r="O42" s="412">
        <f t="shared" si="32"/>
        <v>0</v>
      </c>
      <c r="P42" s="412">
        <f t="shared" si="32"/>
        <v>0</v>
      </c>
      <c r="Q42" s="413"/>
      <c r="R42" s="233"/>
      <c r="T42" s="235"/>
      <c r="U42" s="235"/>
      <c r="V42" s="235"/>
    </row>
    <row r="43" s="234" customFormat="1" ht="17.25"/>
    <row r="44" s="234" customFormat="1" ht="17.25"/>
    <row r="45" spans="1:19" s="234" customFormat="1" ht="17.25">
      <c r="A45" s="240" t="s">
        <v>433</v>
      </c>
      <c r="B45" s="240"/>
      <c r="C45" s="487" t="s">
        <v>38</v>
      </c>
      <c r="D45" s="499">
        <v>157520</v>
      </c>
      <c r="E45" s="499">
        <v>69483</v>
      </c>
      <c r="F45" s="499">
        <v>94747</v>
      </c>
      <c r="G45" s="484">
        <v>0</v>
      </c>
      <c r="H45" s="499">
        <v>52012</v>
      </c>
      <c r="I45" s="499">
        <v>77706</v>
      </c>
      <c r="J45" s="499">
        <v>18879</v>
      </c>
      <c r="K45" s="499">
        <v>23034</v>
      </c>
      <c r="L45" s="499">
        <v>31342</v>
      </c>
      <c r="M45" s="499">
        <v>9464</v>
      </c>
      <c r="N45" s="499">
        <v>17190</v>
      </c>
      <c r="O45" s="499">
        <v>9875</v>
      </c>
      <c r="P45" s="499">
        <v>67219</v>
      </c>
      <c r="Q45" s="493">
        <f>SUM(D45:P45)</f>
        <v>628471</v>
      </c>
      <c r="S45" s="234" t="str">
        <f>IF(Q45='01施設概要'!Q25,"O.K!","Check!")</f>
        <v>O.K!</v>
      </c>
    </row>
    <row r="46" spans="1:19" s="234" customFormat="1" ht="17.25">
      <c r="A46" s="240" t="s">
        <v>434</v>
      </c>
      <c r="B46" s="240"/>
      <c r="C46" s="488" t="s">
        <v>389</v>
      </c>
      <c r="D46" s="499">
        <v>157520</v>
      </c>
      <c r="E46" s="499">
        <v>64562</v>
      </c>
      <c r="F46" s="499">
        <v>94747</v>
      </c>
      <c r="G46" s="484">
        <v>0</v>
      </c>
      <c r="H46" s="499">
        <v>52012</v>
      </c>
      <c r="I46" s="499">
        <v>59390</v>
      </c>
      <c r="J46" s="499">
        <v>18879</v>
      </c>
      <c r="K46" s="499">
        <v>11319</v>
      </c>
      <c r="L46" s="499">
        <v>31342</v>
      </c>
      <c r="M46" s="499">
        <v>9464</v>
      </c>
      <c r="N46" s="499">
        <v>7136</v>
      </c>
      <c r="O46" s="499">
        <v>9875</v>
      </c>
      <c r="P46" s="499">
        <v>58539</v>
      </c>
      <c r="Q46" s="493">
        <f>SUM(D46:P46)</f>
        <v>574785</v>
      </c>
      <c r="S46" s="234" t="str">
        <f>IF(Q46='01施設概要'!Q26,"O.K!","Check!")</f>
        <v>O.K!</v>
      </c>
    </row>
    <row r="47" spans="1:17" s="234" customFormat="1" ht="17.25">
      <c r="A47" s="240" t="s">
        <v>436</v>
      </c>
      <c r="B47" s="240"/>
      <c r="C47" s="489" t="s">
        <v>233</v>
      </c>
      <c r="D47" s="499">
        <v>207320</v>
      </c>
      <c r="E47" s="499">
        <v>117530</v>
      </c>
      <c r="F47" s="499">
        <v>119720</v>
      </c>
      <c r="G47" s="485">
        <v>0</v>
      </c>
      <c r="H47" s="499">
        <v>73000</v>
      </c>
      <c r="I47" s="499">
        <v>93075</v>
      </c>
      <c r="J47" s="499">
        <v>36500</v>
      </c>
      <c r="K47" s="499">
        <v>32850</v>
      </c>
      <c r="L47" s="499">
        <v>102565</v>
      </c>
      <c r="M47" s="499">
        <v>10950</v>
      </c>
      <c r="N47" s="499">
        <v>18250</v>
      </c>
      <c r="O47" s="499">
        <v>27740</v>
      </c>
      <c r="P47" s="499">
        <v>105120</v>
      </c>
      <c r="Q47" s="493">
        <f>SUM(D47:P47)</f>
        <v>944620</v>
      </c>
    </row>
    <row r="48" spans="1:17" s="234" customFormat="1" ht="17.25">
      <c r="A48" s="240" t="s">
        <v>439</v>
      </c>
      <c r="B48" s="240"/>
      <c r="C48" s="488" t="s">
        <v>390</v>
      </c>
      <c r="D48" s="499">
        <v>206590</v>
      </c>
      <c r="E48" s="499">
        <v>104025</v>
      </c>
      <c r="F48" s="499">
        <v>118990</v>
      </c>
      <c r="G48" s="485"/>
      <c r="H48" s="499">
        <v>73000</v>
      </c>
      <c r="I48" s="499">
        <v>72635</v>
      </c>
      <c r="J48" s="499">
        <v>36500</v>
      </c>
      <c r="K48" s="499">
        <v>18250</v>
      </c>
      <c r="L48" s="499">
        <v>87965</v>
      </c>
      <c r="M48" s="499">
        <v>10950</v>
      </c>
      <c r="N48" s="499">
        <v>7300</v>
      </c>
      <c r="O48" s="499">
        <v>13501</v>
      </c>
      <c r="P48" s="499">
        <v>85410</v>
      </c>
      <c r="Q48" s="493">
        <f>SUM(D48:P48)</f>
        <v>835116</v>
      </c>
    </row>
    <row r="49" spans="1:19" s="234" customFormat="1" ht="17.25">
      <c r="A49" s="240" t="s">
        <v>435</v>
      </c>
      <c r="B49" s="240"/>
      <c r="C49" s="487" t="s">
        <v>39</v>
      </c>
      <c r="D49" s="499">
        <v>394006</v>
      </c>
      <c r="E49" s="499">
        <v>130433</v>
      </c>
      <c r="F49" s="499">
        <v>148718</v>
      </c>
      <c r="G49" s="499">
        <v>0</v>
      </c>
      <c r="H49" s="499">
        <v>76205</v>
      </c>
      <c r="I49" s="499">
        <v>108623</v>
      </c>
      <c r="J49" s="499">
        <v>40294</v>
      </c>
      <c r="K49" s="499">
        <v>55872</v>
      </c>
      <c r="L49" s="499">
        <v>58904</v>
      </c>
      <c r="M49" s="499">
        <v>21292</v>
      </c>
      <c r="N49" s="499">
        <v>31706</v>
      </c>
      <c r="O49" s="499">
        <v>39512</v>
      </c>
      <c r="P49" s="499">
        <v>91618</v>
      </c>
      <c r="Q49" s="493">
        <f>SUM(D49:P49)</f>
        <v>1197183</v>
      </c>
      <c r="S49" s="234" t="str">
        <f>IF(Q49='01施設概要'!Q31,"O.K!","Check!")</f>
        <v>O.K!</v>
      </c>
    </row>
    <row r="50" spans="3:17" s="234" customFormat="1" ht="17.25">
      <c r="C50" s="240"/>
      <c r="D50" s="484"/>
      <c r="E50" s="484"/>
      <c r="F50" s="484"/>
      <c r="G50" s="484"/>
      <c r="H50" s="484"/>
      <c r="I50" s="484"/>
      <c r="J50" s="484"/>
      <c r="K50" s="484"/>
      <c r="L50" s="484"/>
      <c r="M50" s="484"/>
      <c r="N50" s="484"/>
      <c r="O50" s="484"/>
      <c r="P50" s="484"/>
      <c r="Q50" s="277"/>
    </row>
    <row r="51" spans="1:17" s="234" customFormat="1" ht="17.25">
      <c r="A51" s="298" t="s">
        <v>437</v>
      </c>
      <c r="B51" s="297"/>
      <c r="C51" s="490" t="s">
        <v>382</v>
      </c>
      <c r="D51" s="499">
        <v>365</v>
      </c>
      <c r="E51" s="499">
        <v>365</v>
      </c>
      <c r="F51" s="499">
        <v>365</v>
      </c>
      <c r="G51" s="499">
        <v>0</v>
      </c>
      <c r="H51" s="499">
        <v>365</v>
      </c>
      <c r="I51" s="499">
        <v>365</v>
      </c>
      <c r="J51" s="499">
        <v>365</v>
      </c>
      <c r="K51" s="499">
        <v>365</v>
      </c>
      <c r="L51" s="499">
        <v>365</v>
      </c>
      <c r="M51" s="499">
        <v>365</v>
      </c>
      <c r="N51" s="499">
        <v>365</v>
      </c>
      <c r="O51" s="499">
        <v>365</v>
      </c>
      <c r="P51" s="499">
        <v>365</v>
      </c>
      <c r="Q51" s="493">
        <f>SUM(D51:P51)</f>
        <v>4380</v>
      </c>
    </row>
    <row r="52" spans="1:17" s="234" customFormat="1" ht="17.25">
      <c r="A52" s="298" t="s">
        <v>438</v>
      </c>
      <c r="B52" s="297"/>
      <c r="C52" s="490" t="s">
        <v>383</v>
      </c>
      <c r="D52" s="499">
        <v>245</v>
      </c>
      <c r="E52" s="499">
        <v>245</v>
      </c>
      <c r="F52" s="499">
        <v>245</v>
      </c>
      <c r="G52" s="499">
        <v>0</v>
      </c>
      <c r="H52" s="499">
        <v>245</v>
      </c>
      <c r="I52" s="499">
        <v>245</v>
      </c>
      <c r="J52" s="499">
        <v>245</v>
      </c>
      <c r="K52" s="499">
        <v>245</v>
      </c>
      <c r="L52" s="499">
        <v>245</v>
      </c>
      <c r="M52" s="499">
        <v>290</v>
      </c>
      <c r="N52" s="499">
        <v>245</v>
      </c>
      <c r="O52" s="499">
        <v>268</v>
      </c>
      <c r="P52" s="499">
        <v>245</v>
      </c>
      <c r="Q52" s="493">
        <f>SUM(D52:P52)</f>
        <v>3008</v>
      </c>
    </row>
    <row r="53" spans="3:17" s="234" customFormat="1" ht="17.25">
      <c r="C53" s="241"/>
      <c r="D53" s="485"/>
      <c r="E53" s="485"/>
      <c r="F53" s="485"/>
      <c r="G53" s="485"/>
      <c r="H53" s="485"/>
      <c r="I53" s="485"/>
      <c r="J53" s="485"/>
      <c r="K53" s="485"/>
      <c r="L53" s="485"/>
      <c r="M53" s="485"/>
      <c r="N53" s="485"/>
      <c r="O53" s="485"/>
      <c r="P53" s="485"/>
      <c r="Q53" s="278"/>
    </row>
    <row r="54" spans="1:19" s="234" customFormat="1" ht="17.25">
      <c r="A54" s="240" t="s">
        <v>440</v>
      </c>
      <c r="C54" s="490" t="s">
        <v>384</v>
      </c>
      <c r="D54" s="499">
        <v>17130142</v>
      </c>
      <c r="E54" s="499">
        <v>4820857</v>
      </c>
      <c r="F54" s="499">
        <v>7251005</v>
      </c>
      <c r="G54" s="499">
        <v>0</v>
      </c>
      <c r="H54" s="499">
        <v>3567382</v>
      </c>
      <c r="I54" s="499">
        <v>4136598</v>
      </c>
      <c r="J54" s="499">
        <v>1355927</v>
      </c>
      <c r="K54" s="499">
        <v>1020060</v>
      </c>
      <c r="L54" s="499">
        <v>2374292</v>
      </c>
      <c r="M54" s="499">
        <v>335667</v>
      </c>
      <c r="N54" s="499">
        <v>599033</v>
      </c>
      <c r="O54" s="499">
        <v>599544</v>
      </c>
      <c r="P54" s="499">
        <v>3258708</v>
      </c>
      <c r="Q54" s="494">
        <f>SUM(D54:P54)</f>
        <v>46449215</v>
      </c>
      <c r="S54" s="234" t="str">
        <f>IF(Q54='02損益計算'!S10,"O.K!","Check!")</f>
        <v>O.K!</v>
      </c>
    </row>
    <row r="55" spans="1:19" s="234" customFormat="1" ht="17.25">
      <c r="A55" s="240" t="s">
        <v>441</v>
      </c>
      <c r="C55" s="490" t="s">
        <v>385</v>
      </c>
      <c r="D55" s="499">
        <v>10997789</v>
      </c>
      <c r="E55" s="499">
        <v>3027990</v>
      </c>
      <c r="F55" s="499">
        <v>4773341</v>
      </c>
      <c r="G55" s="499">
        <v>0</v>
      </c>
      <c r="H55" s="499">
        <v>2317977</v>
      </c>
      <c r="I55" s="499">
        <v>2468044</v>
      </c>
      <c r="J55" s="499">
        <v>649693</v>
      </c>
      <c r="K55" s="499">
        <v>552052</v>
      </c>
      <c r="L55" s="499">
        <v>1178621</v>
      </c>
      <c r="M55" s="499">
        <v>166529</v>
      </c>
      <c r="N55" s="499">
        <v>382808</v>
      </c>
      <c r="O55" s="499">
        <v>231017</v>
      </c>
      <c r="P55" s="499">
        <v>2142153</v>
      </c>
      <c r="Q55" s="494">
        <f>SUM(D55:P55)</f>
        <v>28888014</v>
      </c>
      <c r="S55" s="234" t="str">
        <f>IF(Q55='02損益計算'!S11,"O.K!","Check!")</f>
        <v>O.K!</v>
      </c>
    </row>
    <row r="56" spans="1:19" s="234" customFormat="1" ht="17.25">
      <c r="A56" s="240" t="s">
        <v>442</v>
      </c>
      <c r="C56" s="490" t="s">
        <v>386</v>
      </c>
      <c r="D56" s="499">
        <v>5691522</v>
      </c>
      <c r="E56" s="499">
        <v>1451748</v>
      </c>
      <c r="F56" s="499">
        <v>2283902</v>
      </c>
      <c r="G56" s="499">
        <v>0</v>
      </c>
      <c r="H56" s="499">
        <v>916328</v>
      </c>
      <c r="I56" s="499">
        <v>1463797</v>
      </c>
      <c r="J56" s="499">
        <v>611306</v>
      </c>
      <c r="K56" s="499">
        <v>396234</v>
      </c>
      <c r="L56" s="499">
        <v>866661</v>
      </c>
      <c r="M56" s="499">
        <v>132947</v>
      </c>
      <c r="N56" s="499">
        <v>150902</v>
      </c>
      <c r="O56" s="499">
        <v>261206</v>
      </c>
      <c r="P56" s="499">
        <v>914830</v>
      </c>
      <c r="Q56" s="494">
        <f>SUM(D56:P56)</f>
        <v>15141383</v>
      </c>
      <c r="S56" s="234" t="str">
        <f>IF(Q56='02損益計算'!S12,"O.K!","Check!")</f>
        <v>O.K!</v>
      </c>
    </row>
    <row r="57" spans="3:17" s="234" customFormat="1" ht="17.25">
      <c r="C57" s="241"/>
      <c r="D57" s="485"/>
      <c r="E57" s="485"/>
      <c r="F57" s="485"/>
      <c r="G57" s="485"/>
      <c r="H57" s="485"/>
      <c r="I57" s="485"/>
      <c r="J57" s="485"/>
      <c r="K57" s="485"/>
      <c r="L57" s="485"/>
      <c r="M57" s="485"/>
      <c r="N57" s="485"/>
      <c r="O57" s="485"/>
      <c r="P57" s="485"/>
      <c r="Q57" s="278"/>
    </row>
    <row r="58" spans="1:19" s="234" customFormat="1" ht="17.25">
      <c r="A58" s="240" t="s">
        <v>443</v>
      </c>
      <c r="C58" s="280" t="s">
        <v>391</v>
      </c>
      <c r="D58" s="499">
        <v>876666</v>
      </c>
      <c r="E58" s="499">
        <v>123055</v>
      </c>
      <c r="F58" s="499">
        <v>383934</v>
      </c>
      <c r="G58" s="499">
        <v>0</v>
      </c>
      <c r="H58" s="499">
        <v>55054</v>
      </c>
      <c r="I58" s="499">
        <v>168877</v>
      </c>
      <c r="J58" s="499">
        <v>189398</v>
      </c>
      <c r="K58" s="499">
        <v>24252</v>
      </c>
      <c r="L58" s="499">
        <v>22844</v>
      </c>
      <c r="M58" s="499">
        <v>18958</v>
      </c>
      <c r="N58" s="499">
        <v>6296</v>
      </c>
      <c r="O58" s="499">
        <v>14785</v>
      </c>
      <c r="P58" s="499">
        <v>65841</v>
      </c>
      <c r="Q58" s="494">
        <f>SUM(D58:P58)</f>
        <v>1949960</v>
      </c>
      <c r="S58" s="234" t="str">
        <f>IF(Q58='03収益費用構成'!R24,"O.K!","Check!")</f>
        <v>O.K!</v>
      </c>
    </row>
    <row r="59" spans="1:19" s="234" customFormat="1" ht="17.25">
      <c r="A59" s="240" t="s">
        <v>444</v>
      </c>
      <c r="C59" s="280" t="s">
        <v>392</v>
      </c>
      <c r="D59" s="499">
        <v>1777422</v>
      </c>
      <c r="E59" s="499">
        <v>374074</v>
      </c>
      <c r="F59" s="499">
        <v>840042</v>
      </c>
      <c r="G59" s="499">
        <v>0</v>
      </c>
      <c r="H59" s="499">
        <v>209054</v>
      </c>
      <c r="I59" s="499">
        <v>379808</v>
      </c>
      <c r="J59" s="499">
        <v>54921</v>
      </c>
      <c r="K59" s="499">
        <v>105292</v>
      </c>
      <c r="L59" s="499">
        <v>211189</v>
      </c>
      <c r="M59" s="499">
        <v>24128</v>
      </c>
      <c r="N59" s="499">
        <v>19635</v>
      </c>
      <c r="O59" s="499">
        <v>19532</v>
      </c>
      <c r="P59" s="499">
        <v>217125</v>
      </c>
      <c r="Q59" s="494">
        <f>SUM(D59:P59)</f>
        <v>4232222</v>
      </c>
      <c r="S59" s="234" t="str">
        <f>IF(Q59='03収益費用構成'!R25,"O.K!","Check!")</f>
        <v>O.K!</v>
      </c>
    </row>
    <row r="60" spans="3:17" s="234" customFormat="1" ht="17.25">
      <c r="C60" s="280" t="s">
        <v>393</v>
      </c>
      <c r="D60" s="499">
        <v>2654088</v>
      </c>
      <c r="E60" s="499">
        <v>497129</v>
      </c>
      <c r="F60" s="499">
        <v>1223976</v>
      </c>
      <c r="G60" s="499">
        <v>0</v>
      </c>
      <c r="H60" s="499">
        <v>264108</v>
      </c>
      <c r="I60" s="499">
        <v>548685</v>
      </c>
      <c r="J60" s="499">
        <v>244319</v>
      </c>
      <c r="K60" s="499">
        <v>129544</v>
      </c>
      <c r="L60" s="499">
        <v>234033</v>
      </c>
      <c r="M60" s="499">
        <v>43086</v>
      </c>
      <c r="N60" s="499">
        <v>25931</v>
      </c>
      <c r="O60" s="499">
        <v>34317</v>
      </c>
      <c r="P60" s="499">
        <v>282966</v>
      </c>
      <c r="Q60" s="494">
        <f>Q58+Q59</f>
        <v>6182182</v>
      </c>
    </row>
    <row r="61" spans="3:17" s="234" customFormat="1" ht="17.25">
      <c r="C61" s="241"/>
      <c r="D61" s="485"/>
      <c r="E61" s="485"/>
      <c r="F61" s="485"/>
      <c r="G61" s="485"/>
      <c r="H61" s="485"/>
      <c r="I61" s="485"/>
      <c r="J61" s="485"/>
      <c r="K61" s="485"/>
      <c r="L61" s="485"/>
      <c r="M61" s="485"/>
      <c r="N61" s="485"/>
      <c r="O61" s="485"/>
      <c r="P61" s="485"/>
      <c r="Q61" s="278"/>
    </row>
    <row r="62" spans="1:17" s="234" customFormat="1" ht="17.25">
      <c r="A62" s="240" t="s">
        <v>445</v>
      </c>
      <c r="C62" s="490" t="s">
        <v>394</v>
      </c>
      <c r="D62" s="499">
        <v>2750</v>
      </c>
      <c r="E62" s="499">
        <v>2508</v>
      </c>
      <c r="F62" s="499">
        <v>65732</v>
      </c>
      <c r="G62" s="499">
        <v>0</v>
      </c>
      <c r="H62" s="499">
        <v>0</v>
      </c>
      <c r="I62" s="499">
        <v>0</v>
      </c>
      <c r="J62" s="499">
        <v>0</v>
      </c>
      <c r="K62" s="499">
        <v>0</v>
      </c>
      <c r="L62" s="499">
        <v>117</v>
      </c>
      <c r="M62" s="499">
        <v>4409</v>
      </c>
      <c r="N62" s="499">
        <v>11740</v>
      </c>
      <c r="O62" s="499">
        <v>0</v>
      </c>
      <c r="P62" s="499">
        <v>38031</v>
      </c>
      <c r="Q62" s="494">
        <f>SUM(D62:P62)</f>
        <v>125287</v>
      </c>
    </row>
    <row r="63" spans="3:17" s="234" customFormat="1" ht="17.25">
      <c r="C63" s="240"/>
      <c r="D63" s="484"/>
      <c r="E63" s="484"/>
      <c r="F63" s="484"/>
      <c r="G63" s="484"/>
      <c r="H63" s="484"/>
      <c r="I63" s="484"/>
      <c r="J63" s="484"/>
      <c r="K63" s="484"/>
      <c r="L63" s="484"/>
      <c r="M63" s="484"/>
      <c r="N63" s="484"/>
      <c r="O63" s="484"/>
      <c r="P63" s="484"/>
      <c r="Q63" s="277"/>
    </row>
    <row r="64" spans="1:17" s="234" customFormat="1" ht="17.25">
      <c r="A64" s="240" t="s">
        <v>449</v>
      </c>
      <c r="C64" s="488" t="s">
        <v>395</v>
      </c>
      <c r="D64" s="499">
        <v>899116</v>
      </c>
      <c r="E64" s="499">
        <v>120329</v>
      </c>
      <c r="F64" s="499">
        <v>414763</v>
      </c>
      <c r="G64" s="499">
        <v>0</v>
      </c>
      <c r="H64" s="499">
        <v>55303</v>
      </c>
      <c r="I64" s="499">
        <v>101362</v>
      </c>
      <c r="J64" s="499">
        <v>189398</v>
      </c>
      <c r="K64" s="499">
        <v>24383</v>
      </c>
      <c r="L64" s="499">
        <v>22844</v>
      </c>
      <c r="M64" s="499">
        <v>19113</v>
      </c>
      <c r="N64" s="499">
        <v>6299</v>
      </c>
      <c r="O64" s="499">
        <v>16773</v>
      </c>
      <c r="P64" s="499">
        <v>70769</v>
      </c>
      <c r="Q64" s="495">
        <f>SUM(D64:P64)</f>
        <v>1940452</v>
      </c>
    </row>
    <row r="65" spans="1:17" s="234" customFormat="1" ht="17.25">
      <c r="A65" s="240" t="s">
        <v>451</v>
      </c>
      <c r="C65" s="488" t="s">
        <v>396</v>
      </c>
      <c r="D65" s="499">
        <v>2032847</v>
      </c>
      <c r="E65" s="499">
        <v>277040</v>
      </c>
      <c r="F65" s="499">
        <v>907497</v>
      </c>
      <c r="G65" s="499">
        <v>0</v>
      </c>
      <c r="H65" s="499">
        <v>263267</v>
      </c>
      <c r="I65" s="499">
        <v>317550</v>
      </c>
      <c r="J65" s="499">
        <v>60956</v>
      </c>
      <c r="K65" s="499">
        <v>107967</v>
      </c>
      <c r="L65" s="499">
        <v>211189</v>
      </c>
      <c r="M65" s="499">
        <v>24133</v>
      </c>
      <c r="N65" s="499">
        <v>19637</v>
      </c>
      <c r="O65" s="499">
        <v>20339</v>
      </c>
      <c r="P65" s="499">
        <v>132747</v>
      </c>
      <c r="Q65" s="495">
        <f>SUM(D65:P65)</f>
        <v>4375169</v>
      </c>
    </row>
    <row r="66" spans="3:17" s="234" customFormat="1" ht="17.25">
      <c r="C66" s="240"/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484"/>
      <c r="Q66" s="277"/>
    </row>
    <row r="67" spans="1:19" s="234" customFormat="1" ht="17.25">
      <c r="A67" s="240" t="s">
        <v>446</v>
      </c>
      <c r="C67" s="242" t="s">
        <v>397</v>
      </c>
      <c r="D67" s="499">
        <v>197239</v>
      </c>
      <c r="E67" s="499">
        <v>31764</v>
      </c>
      <c r="F67" s="499">
        <v>119312</v>
      </c>
      <c r="G67" s="499">
        <v>0</v>
      </c>
      <c r="H67" s="499">
        <v>33828</v>
      </c>
      <c r="I67" s="499">
        <v>44429</v>
      </c>
      <c r="J67" s="499">
        <v>38883</v>
      </c>
      <c r="K67" s="499">
        <v>12577</v>
      </c>
      <c r="L67" s="499">
        <v>21004</v>
      </c>
      <c r="M67" s="499">
        <v>4724</v>
      </c>
      <c r="N67" s="499">
        <v>3668</v>
      </c>
      <c r="O67" s="499">
        <v>4883</v>
      </c>
      <c r="P67" s="499">
        <v>18459</v>
      </c>
      <c r="Q67" s="496">
        <f>SUM(D67:P67)</f>
        <v>530770</v>
      </c>
      <c r="S67" s="234" t="str">
        <f>IF(Q67='03収益費用構成'!R32,"O.K!","Check!")</f>
        <v>O.K!</v>
      </c>
    </row>
    <row r="68" spans="1:19" s="234" customFormat="1" ht="17.25">
      <c r="A68" s="240" t="s">
        <v>447</v>
      </c>
      <c r="C68" s="243" t="s">
        <v>398</v>
      </c>
      <c r="D68" s="499">
        <v>1226429</v>
      </c>
      <c r="E68" s="499">
        <v>76518</v>
      </c>
      <c r="F68" s="499">
        <v>284014</v>
      </c>
      <c r="G68" s="499">
        <v>0</v>
      </c>
      <c r="H68" s="499">
        <v>149445</v>
      </c>
      <c r="I68" s="499">
        <v>137723</v>
      </c>
      <c r="J68" s="499">
        <v>42165</v>
      </c>
      <c r="K68" s="499">
        <v>35014</v>
      </c>
      <c r="L68" s="499">
        <v>80387</v>
      </c>
      <c r="M68" s="499">
        <v>22502</v>
      </c>
      <c r="N68" s="499">
        <v>7334</v>
      </c>
      <c r="O68" s="499">
        <v>11230</v>
      </c>
      <c r="P68" s="499">
        <v>25774</v>
      </c>
      <c r="Q68" s="497">
        <f>SUM(D68:P68)</f>
        <v>2098535</v>
      </c>
      <c r="S68" s="234" t="str">
        <f>IF(Q68='03収益費用構成'!R33,"O.K!","Check!")</f>
        <v>O.K!</v>
      </c>
    </row>
    <row r="69" spans="1:19" s="234" customFormat="1" ht="17.25">
      <c r="A69" s="240" t="s">
        <v>448</v>
      </c>
      <c r="C69" s="242" t="s">
        <v>399</v>
      </c>
      <c r="D69" s="499">
        <v>701877</v>
      </c>
      <c r="E69" s="499">
        <v>88565</v>
      </c>
      <c r="F69" s="499">
        <v>295451</v>
      </c>
      <c r="G69" s="499">
        <v>0</v>
      </c>
      <c r="H69" s="499">
        <v>21475</v>
      </c>
      <c r="I69" s="499">
        <v>56933</v>
      </c>
      <c r="J69" s="499">
        <v>150515</v>
      </c>
      <c r="K69" s="499">
        <v>11806</v>
      </c>
      <c r="L69" s="499">
        <v>1840</v>
      </c>
      <c r="M69" s="499">
        <v>14389</v>
      </c>
      <c r="N69" s="499">
        <v>2631</v>
      </c>
      <c r="O69" s="499">
        <v>11890</v>
      </c>
      <c r="P69" s="499">
        <v>52310</v>
      </c>
      <c r="Q69" s="496">
        <f>SUM(D69:P69)</f>
        <v>1409682</v>
      </c>
      <c r="S69" s="234" t="str">
        <f>IF(Q69='03収益費用構成'!R43,"O.K!","Check!")</f>
        <v>O.K!</v>
      </c>
    </row>
    <row r="70" spans="1:19" s="234" customFormat="1" ht="17.25">
      <c r="A70" s="240" t="s">
        <v>450</v>
      </c>
      <c r="C70" s="243" t="s">
        <v>400</v>
      </c>
      <c r="D70" s="499">
        <v>806418</v>
      </c>
      <c r="E70" s="499">
        <v>200522</v>
      </c>
      <c r="F70" s="499">
        <v>623483</v>
      </c>
      <c r="G70" s="499">
        <v>0</v>
      </c>
      <c r="H70" s="499">
        <v>113822</v>
      </c>
      <c r="I70" s="499">
        <v>179827</v>
      </c>
      <c r="J70" s="499">
        <v>18791</v>
      </c>
      <c r="K70" s="499">
        <v>72953</v>
      </c>
      <c r="L70" s="499">
        <v>130802</v>
      </c>
      <c r="M70" s="499">
        <v>1631</v>
      </c>
      <c r="N70" s="499">
        <v>12303</v>
      </c>
      <c r="O70" s="499">
        <v>9109</v>
      </c>
      <c r="P70" s="499">
        <v>106973</v>
      </c>
      <c r="Q70" s="497">
        <f>SUM(D70:P70)</f>
        <v>2276634</v>
      </c>
      <c r="S70" s="234" t="str">
        <f>IF(Q70='03収益費用構成'!R44,"O.K!","Check!")</f>
        <v>O.K!</v>
      </c>
    </row>
    <row r="71" spans="1:19" s="234" customFormat="1" ht="17.25">
      <c r="A71" s="240" t="s">
        <v>452</v>
      </c>
      <c r="C71" s="242" t="s">
        <v>401</v>
      </c>
      <c r="D71" s="499">
        <v>528488</v>
      </c>
      <c r="E71" s="499">
        <v>33193</v>
      </c>
      <c r="F71" s="499">
        <v>141670</v>
      </c>
      <c r="G71" s="499">
        <v>0</v>
      </c>
      <c r="H71" s="499">
        <v>154886</v>
      </c>
      <c r="I71" s="499">
        <v>113430</v>
      </c>
      <c r="J71" s="499">
        <v>27285</v>
      </c>
      <c r="K71" s="499">
        <v>16562</v>
      </c>
      <c r="L71" s="499">
        <v>49719</v>
      </c>
      <c r="M71" s="499">
        <v>6708</v>
      </c>
      <c r="N71" s="499">
        <v>7847</v>
      </c>
      <c r="O71" s="499">
        <v>14391</v>
      </c>
      <c r="P71" s="499">
        <v>16180</v>
      </c>
      <c r="Q71" s="496">
        <f aca="true" t="shared" si="33" ref="Q71:Q76">SUM(D71:P71)</f>
        <v>1110359</v>
      </c>
      <c r="S71" s="234" t="str">
        <f>IF(Q71='03収益費用構成'!R35,"O.K!","Check!")</f>
        <v>O.K!</v>
      </c>
    </row>
    <row r="72" spans="1:19" s="234" customFormat="1" ht="17.25">
      <c r="A72" s="240" t="s">
        <v>453</v>
      </c>
      <c r="C72" s="243" t="s">
        <v>402</v>
      </c>
      <c r="D72" s="499">
        <v>1270901</v>
      </c>
      <c r="E72" s="499">
        <v>338554</v>
      </c>
      <c r="F72" s="499">
        <v>468188</v>
      </c>
      <c r="G72" s="499">
        <v>0</v>
      </c>
      <c r="H72" s="499">
        <v>223627</v>
      </c>
      <c r="I72" s="499">
        <v>219128</v>
      </c>
      <c r="J72" s="499">
        <v>56907</v>
      </c>
      <c r="K72" s="499">
        <v>46331</v>
      </c>
      <c r="L72" s="499">
        <v>137513</v>
      </c>
      <c r="M72" s="499">
        <v>19503</v>
      </c>
      <c r="N72" s="499">
        <v>33233</v>
      </c>
      <c r="O72" s="499">
        <v>60762</v>
      </c>
      <c r="P72" s="499">
        <v>185071</v>
      </c>
      <c r="Q72" s="497">
        <f t="shared" si="33"/>
        <v>3059718</v>
      </c>
      <c r="S72" s="234" t="str">
        <f>IF(Q72='03収益費用構成'!R46,"O.K!","Check!")</f>
        <v>O.K!</v>
      </c>
    </row>
    <row r="73" spans="1:19" s="234" customFormat="1" ht="17.25">
      <c r="A73" s="240" t="s">
        <v>454</v>
      </c>
      <c r="C73" s="242" t="s">
        <v>403</v>
      </c>
      <c r="D73" s="499">
        <v>274162</v>
      </c>
      <c r="E73" s="499">
        <v>8195</v>
      </c>
      <c r="F73" s="499">
        <v>53549</v>
      </c>
      <c r="G73" s="499">
        <v>0</v>
      </c>
      <c r="H73" s="499">
        <v>91821</v>
      </c>
      <c r="I73" s="499">
        <v>70497</v>
      </c>
      <c r="J73" s="499">
        <v>20086</v>
      </c>
      <c r="K73" s="499">
        <v>10489</v>
      </c>
      <c r="L73" s="499">
        <v>44945</v>
      </c>
      <c r="M73" s="499">
        <v>2720</v>
      </c>
      <c r="N73" s="499">
        <v>4098</v>
      </c>
      <c r="O73" s="499">
        <v>6199</v>
      </c>
      <c r="P73" s="499">
        <v>6160</v>
      </c>
      <c r="Q73" s="496">
        <f t="shared" si="33"/>
        <v>592921</v>
      </c>
      <c r="S73" s="234" t="str">
        <f>IF(Q73='03収益費用構成'!R36,"O.K!","Check!")</f>
        <v>O.K!</v>
      </c>
    </row>
    <row r="74" spans="1:19" s="234" customFormat="1" ht="17.25">
      <c r="A74" s="240" t="s">
        <v>455</v>
      </c>
      <c r="C74" s="243" t="s">
        <v>404</v>
      </c>
      <c r="D74" s="499">
        <v>953932</v>
      </c>
      <c r="E74" s="499">
        <v>276961</v>
      </c>
      <c r="F74" s="499">
        <v>263858</v>
      </c>
      <c r="G74" s="499">
        <v>0</v>
      </c>
      <c r="H74" s="499">
        <v>177667</v>
      </c>
      <c r="I74" s="499">
        <v>152890</v>
      </c>
      <c r="J74" s="499">
        <v>49569</v>
      </c>
      <c r="K74" s="499">
        <v>22062</v>
      </c>
      <c r="L74" s="499">
        <v>163099</v>
      </c>
      <c r="M74" s="499">
        <v>6636</v>
      </c>
      <c r="N74" s="499">
        <v>18974</v>
      </c>
      <c r="O74" s="499">
        <v>19550</v>
      </c>
      <c r="P74" s="499">
        <v>115536</v>
      </c>
      <c r="Q74" s="497">
        <f t="shared" si="33"/>
        <v>2220734</v>
      </c>
      <c r="S74" s="234" t="str">
        <f>IF(Q74='03収益費用構成'!R47,"O.K!","Check!")</f>
        <v>O.K!</v>
      </c>
    </row>
    <row r="75" spans="3:17" s="234" customFormat="1" ht="17.25">
      <c r="C75" s="240"/>
      <c r="D75" s="484"/>
      <c r="E75" s="484"/>
      <c r="F75" s="484"/>
      <c r="G75" s="484"/>
      <c r="H75" s="484"/>
      <c r="I75" s="484"/>
      <c r="J75" s="484"/>
      <c r="K75" s="484"/>
      <c r="L75" s="484"/>
      <c r="M75" s="484"/>
      <c r="N75" s="484"/>
      <c r="O75" s="484"/>
      <c r="P75" s="484"/>
      <c r="Q75" s="277"/>
    </row>
    <row r="76" spans="1:19" s="234" customFormat="1" ht="17.25">
      <c r="A76" s="240" t="s">
        <v>456</v>
      </c>
      <c r="C76" s="488" t="s">
        <v>405</v>
      </c>
      <c r="D76" s="499">
        <v>7411289</v>
      </c>
      <c r="E76" s="499">
        <v>3334854</v>
      </c>
      <c r="F76" s="499">
        <v>3678291</v>
      </c>
      <c r="G76" s="499">
        <v>0</v>
      </c>
      <c r="H76" s="499">
        <v>2196751</v>
      </c>
      <c r="I76" s="499">
        <v>2319662</v>
      </c>
      <c r="J76" s="499">
        <v>849429</v>
      </c>
      <c r="K76" s="499">
        <v>919612</v>
      </c>
      <c r="L76" s="499">
        <v>1935365</v>
      </c>
      <c r="M76" s="499">
        <v>328507</v>
      </c>
      <c r="N76" s="499">
        <v>368284</v>
      </c>
      <c r="O76" s="499">
        <v>435327</v>
      </c>
      <c r="P76" s="499">
        <v>2006857</v>
      </c>
      <c r="Q76" s="494">
        <f t="shared" si="33"/>
        <v>25784228</v>
      </c>
      <c r="S76" s="234" t="str">
        <f>IF(Q76='02損益計算'!S26,"O.K!","Check!")</f>
        <v>O.K!</v>
      </c>
    </row>
    <row r="77" spans="1:19" s="234" customFormat="1" ht="17.25">
      <c r="A77" s="240" t="s">
        <v>457</v>
      </c>
      <c r="C77" s="488" t="s">
        <v>406</v>
      </c>
      <c r="D77" s="499">
        <v>4932058</v>
      </c>
      <c r="E77" s="499">
        <v>1011660</v>
      </c>
      <c r="F77" s="499">
        <v>1944031</v>
      </c>
      <c r="G77" s="499">
        <v>0</v>
      </c>
      <c r="H77" s="499">
        <v>723846</v>
      </c>
      <c r="I77" s="499">
        <v>1020844</v>
      </c>
      <c r="J77" s="499">
        <v>337252</v>
      </c>
      <c r="K77" s="499">
        <v>207703</v>
      </c>
      <c r="L77" s="499">
        <v>545540</v>
      </c>
      <c r="M77" s="499">
        <v>58070</v>
      </c>
      <c r="N77" s="499">
        <v>59775</v>
      </c>
      <c r="O77" s="499">
        <v>54127</v>
      </c>
      <c r="P77" s="499">
        <v>572614</v>
      </c>
      <c r="Q77" s="494">
        <f>SUM(D77:P77)</f>
        <v>11467520</v>
      </c>
      <c r="S77" s="234" t="str">
        <f>IF(Q77='03収益費用構成'!R28,"O.K!","Check!")</f>
        <v>O.K!</v>
      </c>
    </row>
    <row r="78" spans="1:19" s="234" customFormat="1" ht="17.25">
      <c r="A78" s="240" t="s">
        <v>458</v>
      </c>
      <c r="C78" s="488" t="s">
        <v>407</v>
      </c>
      <c r="D78" s="499">
        <v>2654088</v>
      </c>
      <c r="E78" s="499">
        <v>497129</v>
      </c>
      <c r="F78" s="499">
        <v>1223976</v>
      </c>
      <c r="G78" s="499">
        <v>0</v>
      </c>
      <c r="H78" s="499">
        <v>264108</v>
      </c>
      <c r="I78" s="499">
        <v>548685</v>
      </c>
      <c r="J78" s="499">
        <v>244319</v>
      </c>
      <c r="K78" s="499">
        <v>129544</v>
      </c>
      <c r="L78" s="499">
        <v>234033</v>
      </c>
      <c r="M78" s="499">
        <v>43086</v>
      </c>
      <c r="N78" s="499">
        <v>25931</v>
      </c>
      <c r="O78" s="499">
        <v>34317</v>
      </c>
      <c r="P78" s="499">
        <v>282966</v>
      </c>
      <c r="Q78" s="494">
        <f>SUM(D78:P78)</f>
        <v>6182182</v>
      </c>
      <c r="S78" s="234" t="str">
        <f>IF(Q78='03収益費用構成'!R26,"O.K!","Check!")</f>
        <v>O.K!</v>
      </c>
    </row>
    <row r="79" spans="3:17" s="234" customFormat="1" ht="17.25">
      <c r="C79" s="240"/>
      <c r="D79" s="484"/>
      <c r="E79" s="484"/>
      <c r="F79" s="484"/>
      <c r="G79" s="484"/>
      <c r="H79" s="484"/>
      <c r="I79" s="484"/>
      <c r="J79" s="484"/>
      <c r="K79" s="484"/>
      <c r="L79" s="484"/>
      <c r="M79" s="484"/>
      <c r="N79" s="484"/>
      <c r="O79" s="484"/>
      <c r="P79" s="484"/>
      <c r="Q79" s="277"/>
    </row>
    <row r="80" spans="1:17" s="234" customFormat="1" ht="17.25">
      <c r="A80" s="240" t="s">
        <v>465</v>
      </c>
      <c r="B80" s="240"/>
      <c r="C80" s="488" t="s">
        <v>408</v>
      </c>
      <c r="D80" s="499">
        <v>52525</v>
      </c>
      <c r="E80" s="499">
        <v>16045</v>
      </c>
      <c r="F80" s="499">
        <v>18067</v>
      </c>
      <c r="G80" s="499">
        <v>0</v>
      </c>
      <c r="H80" s="499">
        <v>12047</v>
      </c>
      <c r="I80" s="499">
        <v>5490</v>
      </c>
      <c r="J80" s="499">
        <v>2482</v>
      </c>
      <c r="K80" s="499">
        <v>3392</v>
      </c>
      <c r="L80" s="499">
        <v>5479</v>
      </c>
      <c r="M80" s="499">
        <v>1168</v>
      </c>
      <c r="N80" s="499">
        <v>1577</v>
      </c>
      <c r="O80" s="499">
        <v>2300</v>
      </c>
      <c r="P80" s="499">
        <v>8659</v>
      </c>
      <c r="Q80" s="494">
        <f>SUM(D80:P80)</f>
        <v>129231</v>
      </c>
    </row>
    <row r="81" spans="1:17" s="234" customFormat="1" ht="17.25">
      <c r="A81" s="240" t="s">
        <v>466</v>
      </c>
      <c r="B81" s="240"/>
      <c r="C81" s="488" t="s">
        <v>409</v>
      </c>
      <c r="D81" s="499">
        <v>181754</v>
      </c>
      <c r="E81" s="499">
        <v>89623</v>
      </c>
      <c r="F81" s="499">
        <v>112207</v>
      </c>
      <c r="G81" s="499">
        <v>0</v>
      </c>
      <c r="H81" s="499">
        <v>64724</v>
      </c>
      <c r="I81" s="499">
        <v>77836</v>
      </c>
      <c r="J81" s="499">
        <v>26010</v>
      </c>
      <c r="K81" s="499">
        <v>29322</v>
      </c>
      <c r="L81" s="499">
        <v>46903</v>
      </c>
      <c r="M81" s="499">
        <v>8395</v>
      </c>
      <c r="N81" s="499">
        <v>15111</v>
      </c>
      <c r="O81" s="499">
        <v>13542</v>
      </c>
      <c r="P81" s="499">
        <v>71886</v>
      </c>
      <c r="Q81" s="494">
        <f>SUM(D81:P81)</f>
        <v>737313</v>
      </c>
    </row>
    <row r="82" spans="3:17" s="234" customFormat="1" ht="17.25">
      <c r="C82" s="240"/>
      <c r="D82" s="484"/>
      <c r="E82" s="484"/>
      <c r="F82" s="484"/>
      <c r="G82" s="484"/>
      <c r="H82" s="484"/>
      <c r="I82" s="484"/>
      <c r="J82" s="484"/>
      <c r="K82" s="484"/>
      <c r="L82" s="484"/>
      <c r="M82" s="484"/>
      <c r="N82" s="484"/>
      <c r="O82" s="484"/>
      <c r="P82" s="484"/>
      <c r="Q82" s="277"/>
    </row>
    <row r="83" spans="1:19" s="234" customFormat="1" ht="17.25">
      <c r="A83" s="240" t="s">
        <v>459</v>
      </c>
      <c r="C83" s="491" t="s">
        <v>410</v>
      </c>
      <c r="D83" s="499">
        <v>15790823</v>
      </c>
      <c r="E83" s="499">
        <v>510318</v>
      </c>
      <c r="F83" s="499">
        <v>5496241</v>
      </c>
      <c r="G83" s="499">
        <v>0</v>
      </c>
      <c r="H83" s="499">
        <v>5740479</v>
      </c>
      <c r="I83" s="499">
        <v>200856</v>
      </c>
      <c r="J83" s="499">
        <v>3382381</v>
      </c>
      <c r="K83" s="499">
        <v>350796</v>
      </c>
      <c r="L83" s="499">
        <v>168333</v>
      </c>
      <c r="M83" s="499">
        <v>6224</v>
      </c>
      <c r="N83" s="499">
        <v>15863</v>
      </c>
      <c r="O83" s="499">
        <v>9110</v>
      </c>
      <c r="P83" s="499">
        <v>906775</v>
      </c>
      <c r="Q83" s="279">
        <f aca="true" t="shared" si="34" ref="Q83:Q90">SUM(D83:P83)</f>
        <v>32578199</v>
      </c>
      <c r="S83" s="234" t="str">
        <f>IF(Q83='04貸借対照'!R37,"O.K!","Check!")</f>
        <v>O.K!</v>
      </c>
    </row>
    <row r="84" spans="1:19" s="234" customFormat="1" ht="17.25">
      <c r="A84" s="240" t="s">
        <v>460</v>
      </c>
      <c r="C84" s="492" t="s">
        <v>411</v>
      </c>
      <c r="D84" s="500">
        <v>-718654</v>
      </c>
      <c r="E84" s="500">
        <v>2299594</v>
      </c>
      <c r="F84" s="500">
        <v>-3492561</v>
      </c>
      <c r="G84" s="500">
        <v>0</v>
      </c>
      <c r="H84" s="500">
        <v>-7504648</v>
      </c>
      <c r="I84" s="500">
        <v>729417</v>
      </c>
      <c r="J84" s="500">
        <v>-207598</v>
      </c>
      <c r="K84" s="500">
        <v>506815</v>
      </c>
      <c r="L84" s="500">
        <v>1167361</v>
      </c>
      <c r="M84" s="500">
        <v>583025</v>
      </c>
      <c r="N84" s="500">
        <v>755809</v>
      </c>
      <c r="O84" s="500">
        <v>176989</v>
      </c>
      <c r="P84" s="500">
        <v>3562889</v>
      </c>
      <c r="Q84" s="501">
        <f t="shared" si="34"/>
        <v>-2141562</v>
      </c>
      <c r="S84" s="234" t="str">
        <f>IF(Q84='04貸借対照'!R45,"O.K!","Check!")</f>
        <v>O.K!</v>
      </c>
    </row>
    <row r="85" spans="1:19" s="234" customFormat="1" ht="17.25">
      <c r="A85" s="240" t="s">
        <v>461</v>
      </c>
      <c r="C85" s="492" t="s">
        <v>412</v>
      </c>
      <c r="D85" s="499">
        <v>26942890</v>
      </c>
      <c r="E85" s="499">
        <v>4441613</v>
      </c>
      <c r="F85" s="499">
        <v>9646963</v>
      </c>
      <c r="G85" s="499">
        <v>0</v>
      </c>
      <c r="H85" s="499">
        <v>7756939</v>
      </c>
      <c r="I85" s="499">
        <v>5290851</v>
      </c>
      <c r="J85" s="499">
        <v>3887569</v>
      </c>
      <c r="K85" s="499">
        <v>2256286</v>
      </c>
      <c r="L85" s="499">
        <v>4619954</v>
      </c>
      <c r="M85" s="499">
        <v>735694</v>
      </c>
      <c r="N85" s="499">
        <v>1472562</v>
      </c>
      <c r="O85" s="499">
        <v>553282</v>
      </c>
      <c r="P85" s="499">
        <v>7610142</v>
      </c>
      <c r="Q85" s="498">
        <f t="shared" si="34"/>
        <v>75214745</v>
      </c>
      <c r="S85" s="234" t="str">
        <f>IF(Q85='04貸借対照'!R60,"O.K!","Check!")</f>
        <v>O.K!</v>
      </c>
    </row>
    <row r="86" spans="1:19" s="234" customFormat="1" ht="17.25">
      <c r="A86" s="240" t="s">
        <v>463</v>
      </c>
      <c r="C86" s="491" t="s">
        <v>413</v>
      </c>
      <c r="D86" s="499">
        <v>16027474</v>
      </c>
      <c r="E86" s="499">
        <v>3080596</v>
      </c>
      <c r="F86" s="499">
        <v>7746055</v>
      </c>
      <c r="G86" s="499">
        <v>0</v>
      </c>
      <c r="H86" s="499">
        <v>6861036</v>
      </c>
      <c r="I86" s="499">
        <v>3985102</v>
      </c>
      <c r="J86" s="499">
        <v>2908753</v>
      </c>
      <c r="K86" s="499">
        <v>2048526</v>
      </c>
      <c r="L86" s="499">
        <v>3511976</v>
      </c>
      <c r="M86" s="499">
        <v>377962</v>
      </c>
      <c r="N86" s="499">
        <v>989697</v>
      </c>
      <c r="O86" s="499">
        <v>385010</v>
      </c>
      <c r="P86" s="499">
        <v>5421918</v>
      </c>
      <c r="Q86" s="279">
        <f t="shared" si="34"/>
        <v>53344105</v>
      </c>
      <c r="S86" s="234" t="str">
        <f>IF(Q86='04貸借対照'!R9,"O.K!","Check!")</f>
        <v>O.K!</v>
      </c>
    </row>
    <row r="87" spans="1:19" s="234" customFormat="1" ht="17.25">
      <c r="A87" s="240" t="s">
        <v>464</v>
      </c>
      <c r="C87" s="491" t="s">
        <v>414</v>
      </c>
      <c r="D87" s="499">
        <v>1463860</v>
      </c>
      <c r="E87" s="499">
        <v>0</v>
      </c>
      <c r="F87" s="499">
        <v>160992</v>
      </c>
      <c r="G87" s="499">
        <v>0</v>
      </c>
      <c r="H87" s="499">
        <v>999559</v>
      </c>
      <c r="I87" s="499">
        <v>0</v>
      </c>
      <c r="J87" s="499">
        <v>0</v>
      </c>
      <c r="K87" s="499">
        <v>0</v>
      </c>
      <c r="L87" s="499">
        <v>600000</v>
      </c>
      <c r="M87" s="499">
        <v>0</v>
      </c>
      <c r="N87" s="499">
        <v>0</v>
      </c>
      <c r="O87" s="499">
        <v>47500</v>
      </c>
      <c r="P87" s="499">
        <v>12503</v>
      </c>
      <c r="Q87" s="279">
        <f t="shared" si="34"/>
        <v>3284414</v>
      </c>
      <c r="S87" s="234" t="str">
        <f>IF(Q87='04貸借対照'!R25,"O.K!","Check!")</f>
        <v>O.K!</v>
      </c>
    </row>
    <row r="88" spans="1:19" s="234" customFormat="1" ht="17.25">
      <c r="A88" s="240" t="s">
        <v>467</v>
      </c>
      <c r="C88" s="244" t="s">
        <v>415</v>
      </c>
      <c r="D88" s="499">
        <v>10143205</v>
      </c>
      <c r="E88" s="499">
        <v>1361017</v>
      </c>
      <c r="F88" s="499">
        <v>1900908</v>
      </c>
      <c r="G88" s="499">
        <v>0</v>
      </c>
      <c r="H88" s="499">
        <v>895903</v>
      </c>
      <c r="I88" s="499">
        <v>1277913</v>
      </c>
      <c r="J88" s="499">
        <v>958794</v>
      </c>
      <c r="K88" s="499">
        <v>207760</v>
      </c>
      <c r="L88" s="499">
        <v>1107978</v>
      </c>
      <c r="M88" s="499">
        <v>357731</v>
      </c>
      <c r="N88" s="499">
        <v>447601</v>
      </c>
      <c r="O88" s="499">
        <v>168272</v>
      </c>
      <c r="P88" s="499">
        <v>2098750</v>
      </c>
      <c r="Q88" s="279">
        <f t="shared" si="34"/>
        <v>20925832</v>
      </c>
      <c r="S88" s="234" t="str">
        <f>IF(Q88='04貸借対照'!R17,"O.K!","Check!")</f>
        <v>O.K!</v>
      </c>
    </row>
    <row r="89" spans="1:19" s="234" customFormat="1" ht="17.25">
      <c r="A89" s="240" t="s">
        <v>468</v>
      </c>
      <c r="C89" s="244" t="s">
        <v>416</v>
      </c>
      <c r="D89" s="499">
        <v>1769102</v>
      </c>
      <c r="E89" s="499">
        <v>1198069</v>
      </c>
      <c r="F89" s="499">
        <v>493140</v>
      </c>
      <c r="G89" s="499">
        <v>0</v>
      </c>
      <c r="H89" s="499">
        <v>862786</v>
      </c>
      <c r="I89" s="499">
        <v>737815</v>
      </c>
      <c r="J89" s="499">
        <v>277068</v>
      </c>
      <c r="K89" s="499">
        <v>96889</v>
      </c>
      <c r="L89" s="499">
        <v>885472</v>
      </c>
      <c r="M89" s="499">
        <v>2554</v>
      </c>
      <c r="N89" s="499">
        <v>31559</v>
      </c>
      <c r="O89" s="499">
        <v>20289</v>
      </c>
      <c r="P89" s="499">
        <v>240478</v>
      </c>
      <c r="Q89" s="279">
        <f t="shared" si="34"/>
        <v>6615221</v>
      </c>
      <c r="S89" s="234" t="str">
        <f>IF(Q89='04貸借対照'!R31,"O.K!","Check!")</f>
        <v>O.K!</v>
      </c>
    </row>
    <row r="90" spans="1:19" s="234" customFormat="1" ht="17.25">
      <c r="A90" s="240" t="s">
        <v>470</v>
      </c>
      <c r="C90" s="491" t="s">
        <v>417</v>
      </c>
      <c r="D90" s="499">
        <v>23709928</v>
      </c>
      <c r="E90" s="499">
        <v>3243544</v>
      </c>
      <c r="F90" s="499">
        <v>8992831</v>
      </c>
      <c r="G90" s="499">
        <v>0</v>
      </c>
      <c r="H90" s="499">
        <v>5894594</v>
      </c>
      <c r="I90" s="499">
        <v>4553036</v>
      </c>
      <c r="J90" s="499">
        <v>3610501</v>
      </c>
      <c r="K90" s="499">
        <v>2159397</v>
      </c>
      <c r="L90" s="499">
        <v>3134482</v>
      </c>
      <c r="M90" s="499">
        <v>733140</v>
      </c>
      <c r="N90" s="499">
        <v>1441003</v>
      </c>
      <c r="O90" s="499">
        <v>485493</v>
      </c>
      <c r="P90" s="499">
        <v>7357161</v>
      </c>
      <c r="Q90" s="279">
        <f t="shared" si="34"/>
        <v>65315110</v>
      </c>
      <c r="S90" s="234" t="str">
        <f>IF(Q90='04貸借対照'!R59,"O.K!","Check!")</f>
        <v>O.K!</v>
      </c>
    </row>
    <row r="91" spans="3:17" s="234" customFormat="1" ht="17.25">
      <c r="C91" s="240"/>
      <c r="D91" s="484"/>
      <c r="E91" s="484"/>
      <c r="F91" s="484"/>
      <c r="G91" s="484"/>
      <c r="H91" s="484"/>
      <c r="I91" s="484"/>
      <c r="J91" s="484"/>
      <c r="K91" s="484"/>
      <c r="L91" s="484"/>
      <c r="M91" s="484"/>
      <c r="N91" s="484"/>
      <c r="O91" s="484"/>
      <c r="P91" s="484"/>
      <c r="Q91" s="277"/>
    </row>
    <row r="92" spans="1:19" s="234" customFormat="1" ht="17.25">
      <c r="A92" s="240" t="s">
        <v>471</v>
      </c>
      <c r="C92" s="244" t="s">
        <v>418</v>
      </c>
      <c r="D92" s="499">
        <v>17760109</v>
      </c>
      <c r="E92" s="499">
        <v>5665833</v>
      </c>
      <c r="F92" s="499">
        <v>7835917</v>
      </c>
      <c r="G92" s="499">
        <v>2401</v>
      </c>
      <c r="H92" s="499">
        <v>4672005</v>
      </c>
      <c r="I92" s="499">
        <v>4307846</v>
      </c>
      <c r="J92" s="499">
        <v>1592587</v>
      </c>
      <c r="K92" s="499">
        <v>1431278</v>
      </c>
      <c r="L92" s="499">
        <v>3332660</v>
      </c>
      <c r="M92" s="499">
        <v>498108</v>
      </c>
      <c r="N92" s="499">
        <v>671530</v>
      </c>
      <c r="O92" s="499">
        <v>783749</v>
      </c>
      <c r="P92" s="499">
        <v>4084513</v>
      </c>
      <c r="Q92" s="279">
        <f aca="true" t="shared" si="35" ref="Q92:Q104">SUM(D92:P92)</f>
        <v>52638536</v>
      </c>
      <c r="S92" s="234" t="str">
        <f>IF(Q92='02損益計算'!S9,"O.K!","Check!")</f>
        <v>O.K!</v>
      </c>
    </row>
    <row r="93" spans="1:19" s="234" customFormat="1" ht="17.25">
      <c r="A93" s="240" t="s">
        <v>472</v>
      </c>
      <c r="C93" s="244" t="s">
        <v>419</v>
      </c>
      <c r="D93" s="499">
        <v>17447172</v>
      </c>
      <c r="E93" s="499">
        <v>5650022</v>
      </c>
      <c r="F93" s="499">
        <v>7634689</v>
      </c>
      <c r="G93" s="499">
        <v>2401</v>
      </c>
      <c r="H93" s="499">
        <v>4975016</v>
      </c>
      <c r="I93" s="499">
        <v>4535549</v>
      </c>
      <c r="J93" s="499">
        <v>1737405</v>
      </c>
      <c r="K93" s="499">
        <v>1584675</v>
      </c>
      <c r="L93" s="499">
        <v>3382007</v>
      </c>
      <c r="M93" s="499">
        <v>492616</v>
      </c>
      <c r="N93" s="499">
        <v>644928</v>
      </c>
      <c r="O93" s="499">
        <v>793256</v>
      </c>
      <c r="P93" s="499">
        <v>4202292</v>
      </c>
      <c r="Q93" s="279">
        <f t="shared" si="35"/>
        <v>53082028</v>
      </c>
      <c r="S93" s="234" t="str">
        <f>IF(Q93='02損益計算'!S24,"O.K!","Check!")</f>
        <v>O.K!</v>
      </c>
    </row>
    <row r="94" spans="1:19" s="234" customFormat="1" ht="17.25">
      <c r="A94" s="240" t="s">
        <v>440</v>
      </c>
      <c r="C94" s="244" t="s">
        <v>420</v>
      </c>
      <c r="D94" s="499">
        <v>17130142</v>
      </c>
      <c r="E94" s="499">
        <v>4820857</v>
      </c>
      <c r="F94" s="499">
        <v>7251005</v>
      </c>
      <c r="G94" s="499">
        <v>0</v>
      </c>
      <c r="H94" s="499">
        <v>3567382</v>
      </c>
      <c r="I94" s="499">
        <v>4136598</v>
      </c>
      <c r="J94" s="499">
        <v>1355927</v>
      </c>
      <c r="K94" s="499">
        <v>1020060</v>
      </c>
      <c r="L94" s="499">
        <v>2374292</v>
      </c>
      <c r="M94" s="499">
        <v>335667</v>
      </c>
      <c r="N94" s="499">
        <v>599033</v>
      </c>
      <c r="O94" s="499">
        <v>599544</v>
      </c>
      <c r="P94" s="499">
        <v>3258708</v>
      </c>
      <c r="Q94" s="279">
        <f t="shared" si="35"/>
        <v>46449215</v>
      </c>
      <c r="S94" s="234" t="str">
        <f>IF(Q94='02損益計算'!S10,"O.K!","Check!")</f>
        <v>O.K!</v>
      </c>
    </row>
    <row r="95" spans="1:19" s="234" customFormat="1" ht="17.25">
      <c r="A95" s="240" t="s">
        <v>473</v>
      </c>
      <c r="C95" s="244" t="s">
        <v>421</v>
      </c>
      <c r="D95" s="499">
        <v>16808810</v>
      </c>
      <c r="E95" s="499">
        <v>5494654</v>
      </c>
      <c r="F95" s="499">
        <v>7217648</v>
      </c>
      <c r="G95" s="499">
        <v>0</v>
      </c>
      <c r="H95" s="499">
        <v>4248187</v>
      </c>
      <c r="I95" s="499">
        <v>4315602</v>
      </c>
      <c r="J95" s="499">
        <v>1667150</v>
      </c>
      <c r="K95" s="499">
        <v>1538115</v>
      </c>
      <c r="L95" s="499">
        <v>3251423</v>
      </c>
      <c r="M95" s="499">
        <v>484087</v>
      </c>
      <c r="N95" s="499">
        <v>617143</v>
      </c>
      <c r="O95" s="499">
        <v>777669</v>
      </c>
      <c r="P95" s="499">
        <v>3563049</v>
      </c>
      <c r="Q95" s="279">
        <f t="shared" si="35"/>
        <v>49983537</v>
      </c>
      <c r="S95" s="234" t="str">
        <f>IF(Q95='02損益計算'!S25,"O.K!","Check!")</f>
        <v>O.K!</v>
      </c>
    </row>
    <row r="96" spans="1:19" s="234" customFormat="1" ht="17.25">
      <c r="A96" s="240" t="s">
        <v>474</v>
      </c>
      <c r="C96" s="244" t="s">
        <v>422</v>
      </c>
      <c r="D96" s="499">
        <v>629967</v>
      </c>
      <c r="E96" s="499">
        <v>844976</v>
      </c>
      <c r="F96" s="499">
        <v>584912</v>
      </c>
      <c r="G96" s="499">
        <v>2401</v>
      </c>
      <c r="H96" s="499">
        <v>1006943</v>
      </c>
      <c r="I96" s="499">
        <v>170992</v>
      </c>
      <c r="J96" s="499">
        <v>236660</v>
      </c>
      <c r="K96" s="499">
        <v>411135</v>
      </c>
      <c r="L96" s="499">
        <v>949385</v>
      </c>
      <c r="M96" s="499">
        <v>162441</v>
      </c>
      <c r="N96" s="499">
        <v>72497</v>
      </c>
      <c r="O96" s="499">
        <v>184205</v>
      </c>
      <c r="P96" s="499">
        <v>825805</v>
      </c>
      <c r="Q96" s="279">
        <f t="shared" si="35"/>
        <v>6082319</v>
      </c>
      <c r="S96" s="234" t="str">
        <f>IF(Q96='02損益計算'!S16,"O.K!","Check!")</f>
        <v>O.K!</v>
      </c>
    </row>
    <row r="97" spans="1:19" s="234" customFormat="1" ht="17.25">
      <c r="A97" s="240" t="s">
        <v>475</v>
      </c>
      <c r="C97" s="244" t="s">
        <v>423</v>
      </c>
      <c r="D97" s="499">
        <v>588738</v>
      </c>
      <c r="E97" s="499">
        <v>154088</v>
      </c>
      <c r="F97" s="499">
        <v>415130</v>
      </c>
      <c r="G97" s="499">
        <v>2401</v>
      </c>
      <c r="H97" s="499">
        <v>710359</v>
      </c>
      <c r="I97" s="499">
        <v>217935</v>
      </c>
      <c r="J97" s="499">
        <v>65380</v>
      </c>
      <c r="K97" s="499">
        <v>28885</v>
      </c>
      <c r="L97" s="499">
        <v>127959</v>
      </c>
      <c r="M97" s="499">
        <v>8529</v>
      </c>
      <c r="N97" s="499">
        <v>27785</v>
      </c>
      <c r="O97" s="499">
        <v>15587</v>
      </c>
      <c r="P97" s="499">
        <v>639243</v>
      </c>
      <c r="Q97" s="279">
        <f t="shared" si="35"/>
        <v>3002019</v>
      </c>
      <c r="S97" s="234" t="str">
        <f>IF(Q97='02損益計算'!S30,"O.K!","Check!")</f>
        <v>O.K!</v>
      </c>
    </row>
    <row r="98" spans="1:19" s="234" customFormat="1" ht="17.25">
      <c r="A98" s="240" t="s">
        <v>476</v>
      </c>
      <c r="C98" s="244" t="s">
        <v>424</v>
      </c>
      <c r="D98" s="499">
        <v>1967506</v>
      </c>
      <c r="E98" s="499">
        <v>3647002</v>
      </c>
      <c r="F98" s="499">
        <v>7291285</v>
      </c>
      <c r="G98" s="499">
        <v>0</v>
      </c>
      <c r="H98" s="499">
        <v>9593189</v>
      </c>
      <c r="I98" s="499">
        <v>4475752</v>
      </c>
      <c r="J98" s="499">
        <v>233257</v>
      </c>
      <c r="K98" s="499">
        <v>497451</v>
      </c>
      <c r="L98" s="499">
        <v>3192394</v>
      </c>
      <c r="M98" s="499">
        <v>62653</v>
      </c>
      <c r="N98" s="499"/>
      <c r="O98" s="499">
        <v>990636</v>
      </c>
      <c r="P98" s="499">
        <v>174734</v>
      </c>
      <c r="Q98" s="279">
        <f t="shared" si="35"/>
        <v>32125859</v>
      </c>
      <c r="S98" s="234" t="str">
        <f>IF(Q98='04貸借対照'!R58,"O.K!","Check!")</f>
        <v>O.K!</v>
      </c>
    </row>
    <row r="99" spans="1:19" s="234" customFormat="1" ht="17.25">
      <c r="A99" s="240" t="s">
        <v>462</v>
      </c>
      <c r="C99" s="244" t="s">
        <v>425</v>
      </c>
      <c r="D99" s="486">
        <v>0</v>
      </c>
      <c r="E99" s="486"/>
      <c r="F99" s="486">
        <v>0</v>
      </c>
      <c r="G99" s="486" t="s">
        <v>506</v>
      </c>
      <c r="H99" s="486">
        <v>0</v>
      </c>
      <c r="I99" s="486">
        <v>0</v>
      </c>
      <c r="J99" s="486">
        <v>0</v>
      </c>
      <c r="K99" s="486">
        <v>0</v>
      </c>
      <c r="L99" s="486"/>
      <c r="M99" s="486">
        <v>0</v>
      </c>
      <c r="N99" s="486">
        <v>0</v>
      </c>
      <c r="O99" s="486">
        <v>0</v>
      </c>
      <c r="P99" s="486">
        <v>0</v>
      </c>
      <c r="Q99" s="279">
        <f t="shared" si="35"/>
        <v>0</v>
      </c>
      <c r="S99" s="234" t="str">
        <f>IF(Q99='04貸借対照'!R61,"O.K!","Check!")</f>
        <v>O.K!</v>
      </c>
    </row>
    <row r="100" spans="3:17" s="234" customFormat="1" ht="17.25">
      <c r="C100" s="240"/>
      <c r="D100" s="486"/>
      <c r="E100" s="486"/>
      <c r="F100" s="486"/>
      <c r="G100" s="486"/>
      <c r="H100" s="486"/>
      <c r="I100" s="486"/>
      <c r="J100" s="486"/>
      <c r="K100" s="486"/>
      <c r="L100" s="486"/>
      <c r="M100" s="486"/>
      <c r="N100" s="486"/>
      <c r="O100" s="486"/>
      <c r="P100" s="486"/>
      <c r="Q100" s="277"/>
    </row>
    <row r="101" spans="1:19" s="234" customFormat="1" ht="17.25">
      <c r="A101" s="240" t="s">
        <v>477</v>
      </c>
      <c r="C101" s="488" t="s">
        <v>426</v>
      </c>
      <c r="D101" s="499">
        <v>0</v>
      </c>
      <c r="E101" s="499">
        <v>0</v>
      </c>
      <c r="F101" s="499">
        <v>0</v>
      </c>
      <c r="G101" s="499">
        <v>0</v>
      </c>
      <c r="H101" s="499">
        <v>293562</v>
      </c>
      <c r="I101" s="499">
        <v>0</v>
      </c>
      <c r="J101" s="499">
        <v>0</v>
      </c>
      <c r="K101" s="499">
        <v>0</v>
      </c>
      <c r="L101" s="499">
        <v>0</v>
      </c>
      <c r="M101" s="499">
        <v>0</v>
      </c>
      <c r="N101" s="499">
        <v>0</v>
      </c>
      <c r="O101" s="499">
        <v>0</v>
      </c>
      <c r="P101" s="499">
        <v>0</v>
      </c>
      <c r="Q101" s="494">
        <f t="shared" si="35"/>
        <v>293562</v>
      </c>
      <c r="S101" s="234" t="str">
        <f>IF(Q101='04貸借対照'!R26+'04貸借対照'!R27,"O.K!","Check!")</f>
        <v>O.K!</v>
      </c>
    </row>
    <row r="102" spans="1:19" s="234" customFormat="1" ht="17.25">
      <c r="A102" s="240" t="s">
        <v>478</v>
      </c>
      <c r="C102" s="488" t="s">
        <v>427</v>
      </c>
      <c r="D102" s="499">
        <v>0</v>
      </c>
      <c r="E102" s="499">
        <v>0</v>
      </c>
      <c r="F102" s="499">
        <v>0</v>
      </c>
      <c r="G102" s="499">
        <v>0</v>
      </c>
      <c r="H102" s="499">
        <v>650000</v>
      </c>
      <c r="I102" s="499">
        <v>0</v>
      </c>
      <c r="J102" s="499">
        <v>0</v>
      </c>
      <c r="K102" s="499">
        <v>0</v>
      </c>
      <c r="L102" s="499">
        <v>600000</v>
      </c>
      <c r="M102" s="499">
        <v>0</v>
      </c>
      <c r="N102" s="499">
        <v>0</v>
      </c>
      <c r="O102" s="499">
        <v>47500</v>
      </c>
      <c r="P102" s="499">
        <v>0</v>
      </c>
      <c r="Q102" s="494">
        <f t="shared" si="35"/>
        <v>1297500</v>
      </c>
      <c r="S102" s="234" t="str">
        <f>IF(Q102='04貸借対照'!R28,"O.K!","Check!")</f>
        <v>O.K!</v>
      </c>
    </row>
    <row r="103" spans="1:19" s="234" customFormat="1" ht="17.25">
      <c r="A103" s="240" t="s">
        <v>469</v>
      </c>
      <c r="C103" s="488" t="s">
        <v>428</v>
      </c>
      <c r="D103" s="499">
        <v>0</v>
      </c>
      <c r="E103" s="499">
        <v>300000</v>
      </c>
      <c r="F103" s="499">
        <v>0</v>
      </c>
      <c r="G103" s="499">
        <v>0</v>
      </c>
      <c r="H103" s="499">
        <v>410000</v>
      </c>
      <c r="I103" s="499">
        <v>0</v>
      </c>
      <c r="J103" s="499">
        <v>0</v>
      </c>
      <c r="K103" s="499">
        <v>50000</v>
      </c>
      <c r="L103" s="499">
        <v>0</v>
      </c>
      <c r="M103" s="499">
        <v>0</v>
      </c>
      <c r="N103" s="499">
        <v>0</v>
      </c>
      <c r="O103" s="499">
        <v>0</v>
      </c>
      <c r="P103" s="499">
        <v>0</v>
      </c>
      <c r="Q103" s="494">
        <f t="shared" si="35"/>
        <v>760000</v>
      </c>
      <c r="S103" s="234" t="str">
        <f>IF(Q103='04貸借対照'!R32,"O.K!","Check!")</f>
        <v>O.K!</v>
      </c>
    </row>
    <row r="104" spans="1:19" s="234" customFormat="1" ht="17.25">
      <c r="A104" s="240" t="s">
        <v>479</v>
      </c>
      <c r="C104" s="488" t="s">
        <v>429</v>
      </c>
      <c r="D104" s="499">
        <v>8637759</v>
      </c>
      <c r="E104" s="499">
        <v>433632</v>
      </c>
      <c r="F104" s="499">
        <v>6989151</v>
      </c>
      <c r="G104" s="499">
        <v>0</v>
      </c>
      <c r="H104" s="499">
        <v>7658763</v>
      </c>
      <c r="I104" s="499">
        <v>3622763</v>
      </c>
      <c r="J104" s="499">
        <v>435718</v>
      </c>
      <c r="K104" s="499">
        <v>1301786</v>
      </c>
      <c r="L104" s="499">
        <v>1798788</v>
      </c>
      <c r="M104" s="499">
        <v>143891</v>
      </c>
      <c r="N104" s="499">
        <v>669331</v>
      </c>
      <c r="O104" s="499">
        <v>299394</v>
      </c>
      <c r="P104" s="499">
        <v>2887497</v>
      </c>
      <c r="Q104" s="494">
        <f t="shared" si="35"/>
        <v>34878473</v>
      </c>
      <c r="S104" s="234" t="str">
        <f>IF(Q104='04貸借対照'!R42,"O.K!","Check!")</f>
        <v>O.K!</v>
      </c>
    </row>
    <row r="105" spans="1:19" s="234" customFormat="1" ht="17.25">
      <c r="A105" s="240" t="s">
        <v>480</v>
      </c>
      <c r="C105" s="488" t="s">
        <v>430</v>
      </c>
      <c r="D105" s="499">
        <v>89849</v>
      </c>
      <c r="E105" s="499">
        <v>13680</v>
      </c>
      <c r="F105" s="499">
        <v>250219</v>
      </c>
      <c r="G105" s="499">
        <v>2401</v>
      </c>
      <c r="H105" s="499">
        <v>232477</v>
      </c>
      <c r="I105" s="499">
        <v>105053</v>
      </c>
      <c r="J105" s="499">
        <v>28791</v>
      </c>
      <c r="K105" s="499">
        <v>28872</v>
      </c>
      <c r="L105" s="499">
        <v>36129</v>
      </c>
      <c r="M105" s="499">
        <v>3169</v>
      </c>
      <c r="N105" s="499">
        <v>14403</v>
      </c>
      <c r="O105" s="499">
        <v>4896</v>
      </c>
      <c r="P105" s="499">
        <v>51062</v>
      </c>
      <c r="Q105" s="494">
        <f>SUM(D105:P105)</f>
        <v>861001</v>
      </c>
      <c r="S105" s="234" t="str">
        <f>IF(Q105='02損益計算'!S31,"O.K!","Check!")</f>
        <v>O.K!</v>
      </c>
    </row>
    <row r="106" spans="1:19" s="234" customFormat="1" ht="17.25">
      <c r="A106" s="240" t="s">
        <v>481</v>
      </c>
      <c r="C106" s="488" t="s">
        <v>431</v>
      </c>
      <c r="D106" s="484">
        <v>0</v>
      </c>
      <c r="E106" s="484">
        <v>0</v>
      </c>
      <c r="F106" s="484">
        <v>0</v>
      </c>
      <c r="G106" s="484">
        <v>0</v>
      </c>
      <c r="H106" s="484">
        <v>0</v>
      </c>
      <c r="I106" s="484">
        <v>0</v>
      </c>
      <c r="J106" s="484">
        <v>0</v>
      </c>
      <c r="K106" s="484">
        <v>0</v>
      </c>
      <c r="L106" s="484">
        <v>0</v>
      </c>
      <c r="M106" s="484">
        <v>0</v>
      </c>
      <c r="N106" s="484">
        <v>0</v>
      </c>
      <c r="O106" s="484">
        <v>0</v>
      </c>
      <c r="P106" s="484">
        <v>0</v>
      </c>
      <c r="Q106" s="494">
        <f>SUM(D106:P106)</f>
        <v>0</v>
      </c>
      <c r="S106" s="234" t="str">
        <f>IF(Q106='02損益計算'!S32,"O.K!","Check!")</f>
        <v>O.K!</v>
      </c>
    </row>
    <row r="107" s="234" customFormat="1" ht="17.25"/>
    <row r="108" s="234" customFormat="1" ht="17.25"/>
    <row r="109" s="234" customFormat="1" ht="17.25"/>
    <row r="110" s="234" customFormat="1" ht="17.25"/>
    <row r="111" s="234" customFormat="1" ht="17.25"/>
    <row r="112" s="234" customFormat="1" ht="17.25"/>
    <row r="113" s="234" customFormat="1" ht="17.25"/>
    <row r="114" s="234" customFormat="1" ht="17.25"/>
    <row r="115" s="234" customFormat="1" ht="17.25"/>
    <row r="116" s="234" customFormat="1" ht="17.25"/>
    <row r="117" s="234" customFormat="1" ht="17.25"/>
    <row r="118" s="234" customFormat="1" ht="17.25"/>
    <row r="119" s="234" customFormat="1" ht="17.25"/>
    <row r="120" s="234" customFormat="1" ht="17.25"/>
    <row r="121" s="234" customFormat="1" ht="17.25"/>
    <row r="122" s="234" customFormat="1" ht="17.25"/>
    <row r="123" s="234" customFormat="1" ht="17.25"/>
    <row r="124" s="234" customFormat="1" ht="17.25"/>
    <row r="125" s="234" customFormat="1" ht="17.25"/>
    <row r="126" s="234" customFormat="1" ht="17.25"/>
    <row r="127" s="234" customFormat="1" ht="17.25"/>
    <row r="128" s="234" customFormat="1" ht="17.25"/>
    <row r="129" s="234" customFormat="1" ht="17.25"/>
    <row r="130" s="234" customFormat="1" ht="17.25"/>
    <row r="131" s="234" customFormat="1" ht="17.25"/>
    <row r="132" s="234" customFormat="1" ht="17.25"/>
    <row r="133" s="234" customFormat="1" ht="17.25"/>
    <row r="134" s="234" customFormat="1" ht="17.25"/>
    <row r="135" s="234" customFormat="1" ht="17.25"/>
    <row r="136" s="234" customFormat="1" ht="17.25"/>
    <row r="137" s="234" customFormat="1" ht="17.25"/>
    <row r="138" s="234" customFormat="1" ht="17.25"/>
    <row r="139" s="234" customFormat="1" ht="17.25"/>
    <row r="140" s="234" customFormat="1" ht="17.25"/>
    <row r="141" s="234" customFormat="1" ht="17.25"/>
    <row r="142" s="234" customFormat="1" ht="17.25"/>
    <row r="143" s="234" customFormat="1" ht="17.25"/>
    <row r="144" s="234" customFormat="1" ht="17.25"/>
    <row r="145" s="234" customFormat="1" ht="17.25"/>
    <row r="146" s="234" customFormat="1" ht="17.25"/>
    <row r="147" s="234" customFormat="1" ht="17.25"/>
    <row r="148" s="234" customFormat="1" ht="17.25"/>
    <row r="149" s="234" customFormat="1" ht="17.25"/>
    <row r="150" s="234" customFormat="1" ht="17.25"/>
    <row r="151" s="234" customFormat="1" ht="17.25"/>
    <row r="152" s="234" customFormat="1" ht="17.25"/>
    <row r="153" s="234" customFormat="1" ht="17.25"/>
    <row r="154" s="234" customFormat="1" ht="17.25"/>
    <row r="155" s="234" customFormat="1" ht="17.25"/>
    <row r="156" s="234" customFormat="1" ht="17.25"/>
    <row r="157" s="234" customFormat="1" ht="17.25"/>
    <row r="158" s="234" customFormat="1" ht="17.25"/>
    <row r="159" s="234" customFormat="1" ht="17.25"/>
    <row r="160" s="234" customFormat="1" ht="17.25"/>
    <row r="161" s="234" customFormat="1" ht="17.25"/>
    <row r="162" s="234" customFormat="1" ht="17.25"/>
    <row r="163" s="234" customFormat="1" ht="17.25"/>
    <row r="164" s="234" customFormat="1" ht="17.25"/>
    <row r="165" s="234" customFormat="1" ht="17.25"/>
    <row r="166" s="234" customFormat="1" ht="17.25"/>
    <row r="167" s="234" customFormat="1" ht="17.25"/>
    <row r="168" s="234" customFormat="1" ht="17.25"/>
    <row r="169" s="234" customFormat="1" ht="17.25"/>
    <row r="170" s="234" customFormat="1" ht="17.25"/>
    <row r="171" s="234" customFormat="1" ht="17.25"/>
    <row r="172" s="234" customFormat="1" ht="17.25"/>
    <row r="173" s="234" customFormat="1" ht="17.25"/>
    <row r="174" s="234" customFormat="1" ht="17.25"/>
    <row r="175" s="234" customFormat="1" ht="17.25"/>
    <row r="176" s="234" customFormat="1" ht="17.25"/>
    <row r="177" s="234" customFormat="1" ht="17.25"/>
    <row r="178" s="234" customFormat="1" ht="17.25"/>
    <row r="179" s="234" customFormat="1" ht="17.25"/>
    <row r="180" s="234" customFormat="1" ht="17.25"/>
    <row r="181" s="234" customFormat="1" ht="17.25"/>
    <row r="182" s="234" customFormat="1" ht="17.25"/>
    <row r="183" s="234" customFormat="1" ht="17.25"/>
    <row r="184" s="234" customFormat="1" ht="17.25"/>
    <row r="185" s="234" customFormat="1" ht="17.25"/>
    <row r="186" s="234" customFormat="1" ht="17.25"/>
    <row r="187" s="234" customFormat="1" ht="17.25"/>
    <row r="188" s="234" customFormat="1" ht="17.25"/>
    <row r="189" s="234" customFormat="1" ht="17.25"/>
    <row r="190" s="234" customFormat="1" ht="17.25"/>
    <row r="191" s="234" customFormat="1" ht="17.25"/>
    <row r="192" s="234" customFormat="1" ht="17.25"/>
    <row r="193" s="234" customFormat="1" ht="17.25"/>
    <row r="194" s="234" customFormat="1" ht="17.25"/>
    <row r="195" s="234" customFormat="1" ht="17.25"/>
    <row r="196" s="234" customFormat="1" ht="17.25"/>
    <row r="197" s="234" customFormat="1" ht="17.25"/>
    <row r="198" s="234" customFormat="1" ht="17.25"/>
    <row r="199" s="234" customFormat="1" ht="17.25"/>
    <row r="200" s="234" customFormat="1" ht="17.25"/>
    <row r="201" s="234" customFormat="1" ht="17.25"/>
    <row r="202" s="234" customFormat="1" ht="17.25"/>
    <row r="203" s="234" customFormat="1" ht="17.25"/>
    <row r="204" s="234" customFormat="1" ht="17.25"/>
    <row r="205" s="234" customFormat="1" ht="17.25"/>
    <row r="206" s="234" customFormat="1" ht="17.25"/>
    <row r="207" s="234" customFormat="1" ht="17.25"/>
    <row r="208" s="234" customFormat="1" ht="17.25"/>
    <row r="209" s="234" customFormat="1" ht="17.25"/>
    <row r="210" s="234" customFormat="1" ht="17.25"/>
    <row r="211" s="234" customFormat="1" ht="17.25"/>
    <row r="212" s="234" customFormat="1" ht="17.25"/>
    <row r="213" s="234" customFormat="1" ht="17.25"/>
    <row r="214" s="234" customFormat="1" ht="17.25"/>
    <row r="215" s="234" customFormat="1" ht="17.25"/>
    <row r="216" s="234" customFormat="1" ht="17.25"/>
    <row r="217" s="234" customFormat="1" ht="17.25"/>
    <row r="218" s="234" customFormat="1" ht="17.25"/>
    <row r="219" s="234" customFormat="1" ht="17.25"/>
    <row r="220" s="234" customFormat="1" ht="17.25"/>
    <row r="221" s="234" customFormat="1" ht="17.25"/>
    <row r="222" s="234" customFormat="1" ht="17.25"/>
    <row r="223" s="234" customFormat="1" ht="17.25"/>
    <row r="224" s="234" customFormat="1" ht="17.25"/>
    <row r="225" s="234" customFormat="1" ht="17.25"/>
    <row r="226" s="234" customFormat="1" ht="17.25"/>
    <row r="227" s="234" customFormat="1" ht="17.25"/>
    <row r="228" s="234" customFormat="1" ht="17.25"/>
    <row r="229" s="234" customFormat="1" ht="17.25"/>
    <row r="230" s="234" customFormat="1" ht="17.25"/>
    <row r="231" s="234" customFormat="1" ht="17.25"/>
    <row r="232" s="234" customFormat="1" ht="17.25"/>
    <row r="233" s="234" customFormat="1" ht="17.25"/>
    <row r="234" s="234" customFormat="1" ht="17.25"/>
    <row r="235" s="234" customFormat="1" ht="17.25"/>
    <row r="236" s="234" customFormat="1" ht="17.25"/>
    <row r="237" s="234" customFormat="1" ht="17.25"/>
    <row r="238" s="234" customFormat="1" ht="17.25"/>
    <row r="239" s="234" customFormat="1" ht="17.25"/>
    <row r="240" s="234" customFormat="1" ht="17.25"/>
    <row r="241" s="234" customFormat="1" ht="17.25"/>
    <row r="242" s="234" customFormat="1" ht="17.25"/>
    <row r="243" s="234" customFormat="1" ht="17.25"/>
    <row r="244" s="234" customFormat="1" ht="17.25"/>
    <row r="245" s="234" customFormat="1" ht="17.25"/>
    <row r="246" s="234" customFormat="1" ht="17.25"/>
    <row r="247" s="234" customFormat="1" ht="17.25"/>
    <row r="248" s="234" customFormat="1" ht="17.25"/>
    <row r="249" s="234" customFormat="1" ht="17.25"/>
    <row r="250" s="234" customFormat="1" ht="17.25"/>
    <row r="251" s="234" customFormat="1" ht="17.25"/>
    <row r="252" s="234" customFormat="1" ht="17.25"/>
    <row r="253" s="234" customFormat="1" ht="17.25"/>
    <row r="254" s="234" customFormat="1" ht="17.25"/>
    <row r="255" s="234" customFormat="1" ht="17.25"/>
    <row r="256" s="234" customFormat="1" ht="17.25"/>
    <row r="257" s="234" customFormat="1" ht="17.25"/>
    <row r="258" s="234" customFormat="1" ht="17.25"/>
    <row r="259" s="234" customFormat="1" ht="17.25"/>
    <row r="260" s="234" customFormat="1" ht="17.25"/>
    <row r="261" s="234" customFormat="1" ht="17.25"/>
    <row r="262" s="234" customFormat="1" ht="17.25"/>
    <row r="263" s="234" customFormat="1" ht="17.25"/>
    <row r="264" s="234" customFormat="1" ht="17.25"/>
    <row r="265" s="234" customFormat="1" ht="17.25"/>
    <row r="266" s="234" customFormat="1" ht="17.25"/>
    <row r="267" s="234" customFormat="1" ht="17.25"/>
    <row r="268" s="234" customFormat="1" ht="17.25"/>
    <row r="269" s="234" customFormat="1" ht="17.25"/>
    <row r="270" s="234" customFormat="1" ht="17.25"/>
    <row r="271" s="234" customFormat="1" ht="17.25"/>
  </sheetData>
  <sheetProtection/>
  <mergeCells count="1">
    <mergeCell ref="G6:G7"/>
  </mergeCells>
  <printOptions/>
  <pageMargins left="0.7874015748031497" right="0.31496062992125984" top="0.7874015748031497" bottom="0.7086614173228347" header="0.5118110236220472" footer="0.5118110236220472"/>
  <pageSetup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B1:U55"/>
  <sheetViews>
    <sheetView showGridLines="0" showZeros="0" view="pageBreakPreview" zoomScale="65" zoomScaleNormal="65" zoomScaleSheetLayoutView="65" zoomScalePageLayoutView="0" workbookViewId="0" topLeftCell="A1">
      <pane xSplit="6" ySplit="8" topLeftCell="G36" activePane="bottomRight" state="frozen"/>
      <selection pane="topLeft" activeCell="D31" sqref="D31:P31"/>
      <selection pane="topRight" activeCell="D31" sqref="D31:P31"/>
      <selection pane="bottomLeft" activeCell="D31" sqref="D31:P31"/>
      <selection pane="bottomRight" activeCell="Q20" sqref="Q20"/>
    </sheetView>
  </sheetViews>
  <sheetFormatPr defaultColWidth="8.66015625" defaultRowHeight="18"/>
  <cols>
    <col min="1" max="1" width="1.66015625" style="305" customWidth="1"/>
    <col min="2" max="4" width="2.66015625" style="305" customWidth="1"/>
    <col min="5" max="5" width="18.66015625" style="305" customWidth="1"/>
    <col min="6" max="6" width="10.66015625" style="305" customWidth="1"/>
    <col min="7" max="19" width="12" style="305" customWidth="1"/>
    <col min="20" max="20" width="13.16015625" style="305" customWidth="1"/>
    <col min="21" max="21" width="1.66015625" style="305" customWidth="1"/>
    <col min="22" max="22" width="2.66015625" style="305" customWidth="1"/>
    <col min="23" max="16384" width="8.66015625" style="305" customWidth="1"/>
  </cols>
  <sheetData>
    <row r="1" ht="21" customHeight="1">
      <c r="B1" s="304" t="s">
        <v>0</v>
      </c>
    </row>
    <row r="2" ht="21" customHeight="1"/>
    <row r="3" spans="2:20" ht="21" customHeight="1" thickBot="1">
      <c r="B3" s="306" t="s">
        <v>204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7" t="s">
        <v>135</v>
      </c>
    </row>
    <row r="4" spans="2:21" ht="21" customHeight="1">
      <c r="B4" s="308"/>
      <c r="G4" s="289"/>
      <c r="H4" s="77"/>
      <c r="I4" s="77"/>
      <c r="J4" s="35"/>
      <c r="K4" s="77"/>
      <c r="L4" s="77"/>
      <c r="M4" s="77"/>
      <c r="N4" s="77"/>
      <c r="O4" s="77"/>
      <c r="P4" s="77"/>
      <c r="Q4" s="77"/>
      <c r="R4" s="77"/>
      <c r="S4" s="77"/>
      <c r="T4" s="290"/>
      <c r="U4" s="308"/>
    </row>
    <row r="5" spans="2:21" ht="21" customHeight="1">
      <c r="B5" s="308"/>
      <c r="E5" s="305" t="s">
        <v>195</v>
      </c>
      <c r="G5" s="291" t="s">
        <v>3</v>
      </c>
      <c r="H5" s="292" t="s">
        <v>4</v>
      </c>
      <c r="I5" s="292" t="s">
        <v>5</v>
      </c>
      <c r="J5" s="37" t="s">
        <v>6</v>
      </c>
      <c r="K5" s="292" t="s">
        <v>7</v>
      </c>
      <c r="L5" s="292" t="s">
        <v>8</v>
      </c>
      <c r="M5" s="292" t="s">
        <v>9</v>
      </c>
      <c r="N5" s="292" t="s">
        <v>238</v>
      </c>
      <c r="O5" s="292" t="s">
        <v>239</v>
      </c>
      <c r="P5" s="292" t="s">
        <v>240</v>
      </c>
      <c r="Q5" s="292" t="s">
        <v>10</v>
      </c>
      <c r="R5" s="292" t="s">
        <v>241</v>
      </c>
      <c r="S5" s="292" t="s">
        <v>11</v>
      </c>
      <c r="T5" s="290"/>
      <c r="U5" s="308"/>
    </row>
    <row r="6" spans="2:21" ht="21" customHeight="1">
      <c r="B6" s="308"/>
      <c r="G6" s="289"/>
      <c r="H6" s="77"/>
      <c r="I6" s="77"/>
      <c r="J6" s="502" t="s">
        <v>504</v>
      </c>
      <c r="K6" s="77"/>
      <c r="L6" s="77"/>
      <c r="M6" s="77"/>
      <c r="N6" s="77"/>
      <c r="O6" s="77"/>
      <c r="P6" s="77"/>
      <c r="Q6" s="77"/>
      <c r="R6" s="77"/>
      <c r="S6" s="77"/>
      <c r="T6" s="293" t="s">
        <v>12</v>
      </c>
      <c r="U6" s="308"/>
    </row>
    <row r="7" spans="2:21" ht="21" customHeight="1">
      <c r="B7" s="308"/>
      <c r="D7" s="305" t="s">
        <v>58</v>
      </c>
      <c r="G7" s="289" t="s">
        <v>355</v>
      </c>
      <c r="H7" s="77" t="s">
        <v>355</v>
      </c>
      <c r="I7" s="77"/>
      <c r="J7" s="502"/>
      <c r="K7" s="77"/>
      <c r="L7" s="77"/>
      <c r="M7" s="77" t="s">
        <v>355</v>
      </c>
      <c r="N7" s="77" t="s">
        <v>356</v>
      </c>
      <c r="O7" s="77" t="s">
        <v>357</v>
      </c>
      <c r="P7" s="77" t="s">
        <v>14</v>
      </c>
      <c r="Q7" s="77" t="s">
        <v>14</v>
      </c>
      <c r="R7" s="77" t="s">
        <v>358</v>
      </c>
      <c r="S7" s="77"/>
      <c r="T7" s="296"/>
      <c r="U7" s="308"/>
    </row>
    <row r="8" spans="2:21" ht="21" customHeight="1" thickBot="1">
      <c r="B8" s="309"/>
      <c r="C8" s="306"/>
      <c r="D8" s="306"/>
      <c r="E8" s="306"/>
      <c r="F8" s="310"/>
      <c r="G8" s="118" t="s">
        <v>359</v>
      </c>
      <c r="H8" s="81" t="s">
        <v>360</v>
      </c>
      <c r="I8" s="81" t="s">
        <v>15</v>
      </c>
      <c r="J8" s="433" t="s">
        <v>491</v>
      </c>
      <c r="K8" s="81" t="s">
        <v>319</v>
      </c>
      <c r="L8" s="81" t="s">
        <v>388</v>
      </c>
      <c r="M8" s="81" t="s">
        <v>17</v>
      </c>
      <c r="N8" s="81" t="s">
        <v>318</v>
      </c>
      <c r="O8" s="81" t="s">
        <v>337</v>
      </c>
      <c r="P8" s="81" t="s">
        <v>59</v>
      </c>
      <c r="Q8" s="81" t="s">
        <v>60</v>
      </c>
      <c r="R8" s="81" t="s">
        <v>244</v>
      </c>
      <c r="S8" s="81" t="s">
        <v>18</v>
      </c>
      <c r="T8" s="295"/>
      <c r="U8" s="308"/>
    </row>
    <row r="9" spans="2:21" ht="21" customHeight="1">
      <c r="B9" s="308" t="s">
        <v>205</v>
      </c>
      <c r="G9" s="311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3"/>
      <c r="U9" s="308"/>
    </row>
    <row r="10" spans="2:21" ht="21" customHeight="1">
      <c r="B10" s="308"/>
      <c r="C10" s="305" t="s">
        <v>206</v>
      </c>
      <c r="G10" s="314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3"/>
      <c r="U10" s="308"/>
    </row>
    <row r="11" spans="2:21" ht="21" customHeight="1">
      <c r="B11" s="308"/>
      <c r="D11" s="305" t="s">
        <v>207</v>
      </c>
      <c r="F11" s="316" t="s">
        <v>208</v>
      </c>
      <c r="G11" s="317">
        <f aca="true" t="shared" si="0" ref="G11:S11">G13+G15</f>
        <v>195532</v>
      </c>
      <c r="H11" s="318">
        <f t="shared" si="0"/>
        <v>57974</v>
      </c>
      <c r="I11" s="318">
        <f t="shared" si="0"/>
        <v>76495</v>
      </c>
      <c r="J11" s="438" t="s">
        <v>507</v>
      </c>
      <c r="K11" s="318">
        <f t="shared" si="0"/>
        <v>257408</v>
      </c>
      <c r="L11" s="318">
        <f t="shared" si="0"/>
        <v>77350</v>
      </c>
      <c r="M11" s="318">
        <f t="shared" si="0"/>
        <v>51597</v>
      </c>
      <c r="N11" s="318">
        <f t="shared" si="0"/>
        <v>37991</v>
      </c>
      <c r="O11" s="318">
        <f t="shared" si="0"/>
        <v>148452</v>
      </c>
      <c r="P11" s="318">
        <f t="shared" si="0"/>
        <v>0</v>
      </c>
      <c r="Q11" s="318">
        <f t="shared" si="0"/>
        <v>0</v>
      </c>
      <c r="R11" s="318">
        <f t="shared" si="0"/>
        <v>72609</v>
      </c>
      <c r="S11" s="318">
        <f t="shared" si="0"/>
        <v>85506</v>
      </c>
      <c r="T11" s="319">
        <f aca="true" t="shared" si="1" ref="T11:T17">SUM(G11:S11)</f>
        <v>1060914</v>
      </c>
      <c r="U11" s="308"/>
    </row>
    <row r="12" spans="2:21" ht="21" customHeight="1">
      <c r="B12" s="308"/>
      <c r="E12" s="320"/>
      <c r="F12" s="321" t="s">
        <v>209</v>
      </c>
      <c r="G12" s="322">
        <f aca="true" t="shared" si="2" ref="G12:S12">G14+G16+G17</f>
        <v>148964</v>
      </c>
      <c r="H12" s="323">
        <f t="shared" si="2"/>
        <v>0</v>
      </c>
      <c r="I12" s="323">
        <f t="shared" si="2"/>
        <v>76495</v>
      </c>
      <c r="J12" s="439" t="s">
        <v>506</v>
      </c>
      <c r="K12" s="323">
        <f t="shared" si="2"/>
        <v>257408</v>
      </c>
      <c r="L12" s="323">
        <f t="shared" si="2"/>
        <v>40084</v>
      </c>
      <c r="M12" s="323">
        <f t="shared" si="2"/>
        <v>51597</v>
      </c>
      <c r="N12" s="323">
        <f t="shared" si="2"/>
        <v>37991</v>
      </c>
      <c r="O12" s="323">
        <f t="shared" si="2"/>
        <v>148452</v>
      </c>
      <c r="P12" s="323">
        <f t="shared" si="2"/>
        <v>0</v>
      </c>
      <c r="Q12" s="323">
        <f t="shared" si="2"/>
        <v>3247</v>
      </c>
      <c r="R12" s="323">
        <f t="shared" si="2"/>
        <v>70000</v>
      </c>
      <c r="S12" s="323">
        <f t="shared" si="2"/>
        <v>85506</v>
      </c>
      <c r="T12" s="324">
        <f>SUM(G12:S12)</f>
        <v>919744</v>
      </c>
      <c r="U12" s="308"/>
    </row>
    <row r="13" spans="2:21" ht="21" customHeight="1">
      <c r="B13" s="308"/>
      <c r="E13" s="305" t="s">
        <v>210</v>
      </c>
      <c r="F13" s="316" t="s">
        <v>208</v>
      </c>
      <c r="G13" s="325">
        <v>195532</v>
      </c>
      <c r="H13" s="326">
        <v>57974</v>
      </c>
      <c r="I13" s="326">
        <v>76495</v>
      </c>
      <c r="J13" s="440">
        <v>0</v>
      </c>
      <c r="K13" s="326">
        <v>257408</v>
      </c>
      <c r="L13" s="326">
        <v>77350</v>
      </c>
      <c r="M13" s="326">
        <v>51597</v>
      </c>
      <c r="N13" s="326">
        <v>37991</v>
      </c>
      <c r="O13" s="326">
        <v>148315</v>
      </c>
      <c r="P13" s="326">
        <v>0</v>
      </c>
      <c r="Q13" s="326">
        <v>0</v>
      </c>
      <c r="R13" s="326">
        <v>44716</v>
      </c>
      <c r="S13" s="326">
        <v>85506</v>
      </c>
      <c r="T13" s="319">
        <f t="shared" si="1"/>
        <v>1032884</v>
      </c>
      <c r="U13" s="308"/>
    </row>
    <row r="14" spans="2:21" ht="21" customHeight="1">
      <c r="B14" s="308"/>
      <c r="E14" s="320"/>
      <c r="F14" s="321" t="s">
        <v>209</v>
      </c>
      <c r="G14" s="327">
        <v>122390</v>
      </c>
      <c r="H14" s="328">
        <v>0</v>
      </c>
      <c r="I14" s="328">
        <v>76495</v>
      </c>
      <c r="J14" s="441">
        <v>0</v>
      </c>
      <c r="K14" s="328">
        <v>257408</v>
      </c>
      <c r="L14" s="328">
        <v>40084</v>
      </c>
      <c r="M14" s="328">
        <v>51597</v>
      </c>
      <c r="N14" s="328">
        <v>37991</v>
      </c>
      <c r="O14" s="328">
        <v>148315</v>
      </c>
      <c r="P14" s="328">
        <v>0</v>
      </c>
      <c r="Q14" s="328">
        <v>0</v>
      </c>
      <c r="R14" s="328">
        <v>40000</v>
      </c>
      <c r="S14" s="328">
        <v>85506</v>
      </c>
      <c r="T14" s="324">
        <f t="shared" si="1"/>
        <v>859786</v>
      </c>
      <c r="U14" s="308"/>
    </row>
    <row r="15" spans="2:21" ht="21" customHeight="1">
      <c r="B15" s="308"/>
      <c r="E15" s="305" t="s">
        <v>211</v>
      </c>
      <c r="F15" s="316" t="s">
        <v>208</v>
      </c>
      <c r="G15" s="325">
        <v>0</v>
      </c>
      <c r="H15" s="326">
        <v>0</v>
      </c>
      <c r="I15" s="326">
        <v>0</v>
      </c>
      <c r="J15" s="440">
        <v>0</v>
      </c>
      <c r="K15" s="326">
        <v>0</v>
      </c>
      <c r="L15" s="326">
        <v>0</v>
      </c>
      <c r="M15" s="326">
        <v>0</v>
      </c>
      <c r="N15" s="326">
        <v>0</v>
      </c>
      <c r="O15" s="326">
        <v>137</v>
      </c>
      <c r="P15" s="326">
        <v>0</v>
      </c>
      <c r="Q15" s="326">
        <v>0</v>
      </c>
      <c r="R15" s="326">
        <v>27893</v>
      </c>
      <c r="S15" s="326">
        <v>0</v>
      </c>
      <c r="T15" s="319">
        <f t="shared" si="1"/>
        <v>28030</v>
      </c>
      <c r="U15" s="308"/>
    </row>
    <row r="16" spans="2:21" ht="21" customHeight="1">
      <c r="B16" s="308"/>
      <c r="E16" s="320"/>
      <c r="F16" s="321" t="s">
        <v>209</v>
      </c>
      <c r="G16" s="327">
        <v>0</v>
      </c>
      <c r="H16" s="328">
        <v>0</v>
      </c>
      <c r="I16" s="328">
        <v>0</v>
      </c>
      <c r="J16" s="441">
        <v>0</v>
      </c>
      <c r="K16" s="328">
        <v>0</v>
      </c>
      <c r="L16" s="328">
        <v>0</v>
      </c>
      <c r="M16" s="328">
        <v>0</v>
      </c>
      <c r="N16" s="328">
        <v>0</v>
      </c>
      <c r="O16" s="328">
        <v>137</v>
      </c>
      <c r="P16" s="328">
        <v>0</v>
      </c>
      <c r="Q16" s="328">
        <v>0</v>
      </c>
      <c r="R16" s="328">
        <v>30000</v>
      </c>
      <c r="S16" s="328">
        <v>0</v>
      </c>
      <c r="T16" s="324">
        <f t="shared" si="1"/>
        <v>30137</v>
      </c>
      <c r="U16" s="308"/>
    </row>
    <row r="17" spans="2:21" ht="21" customHeight="1">
      <c r="B17" s="308"/>
      <c r="C17" s="320"/>
      <c r="D17" s="320"/>
      <c r="E17" s="320" t="s">
        <v>192</v>
      </c>
      <c r="F17" s="321" t="s">
        <v>209</v>
      </c>
      <c r="G17" s="329">
        <v>26574</v>
      </c>
      <c r="H17" s="330">
        <v>0</v>
      </c>
      <c r="I17" s="330">
        <v>0</v>
      </c>
      <c r="J17" s="442">
        <v>0</v>
      </c>
      <c r="K17" s="330">
        <v>0</v>
      </c>
      <c r="L17" s="330">
        <v>0</v>
      </c>
      <c r="M17" s="330">
        <v>0</v>
      </c>
      <c r="N17" s="330">
        <v>0</v>
      </c>
      <c r="O17" s="330"/>
      <c r="P17" s="330">
        <v>0</v>
      </c>
      <c r="Q17" s="330">
        <v>3247</v>
      </c>
      <c r="R17" s="330">
        <v>0</v>
      </c>
      <c r="S17" s="330">
        <v>0</v>
      </c>
      <c r="T17" s="324">
        <f t="shared" si="1"/>
        <v>29821</v>
      </c>
      <c r="U17" s="308"/>
    </row>
    <row r="18" spans="2:21" ht="21" customHeight="1">
      <c r="B18" s="308"/>
      <c r="C18" s="305" t="s">
        <v>212</v>
      </c>
      <c r="G18" s="331"/>
      <c r="H18" s="332"/>
      <c r="I18" s="332"/>
      <c r="J18" s="443" t="s">
        <v>506</v>
      </c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08"/>
    </row>
    <row r="19" spans="2:21" ht="21" customHeight="1">
      <c r="B19" s="308"/>
      <c r="D19" s="305" t="s">
        <v>213</v>
      </c>
      <c r="F19" s="316" t="s">
        <v>208</v>
      </c>
      <c r="G19" s="333">
        <f aca="true" t="shared" si="3" ref="G19:R19">G21+G23+G25+G27+G29+G31+G33+G35</f>
        <v>429663</v>
      </c>
      <c r="H19" s="319">
        <f t="shared" si="3"/>
        <v>139847</v>
      </c>
      <c r="I19" s="319">
        <f t="shared" si="3"/>
        <v>301379</v>
      </c>
      <c r="J19" s="444" t="s">
        <v>506</v>
      </c>
      <c r="K19" s="319">
        <f t="shared" si="3"/>
        <v>204848</v>
      </c>
      <c r="L19" s="319">
        <f t="shared" si="3"/>
        <v>161548</v>
      </c>
      <c r="M19" s="319">
        <f t="shared" si="3"/>
        <v>2318</v>
      </c>
      <c r="N19" s="319">
        <f t="shared" si="3"/>
        <v>49059</v>
      </c>
      <c r="O19" s="319">
        <f t="shared" si="3"/>
        <v>68412</v>
      </c>
      <c r="P19" s="319">
        <f t="shared" si="3"/>
        <v>16874</v>
      </c>
      <c r="Q19" s="319">
        <f t="shared" si="3"/>
        <v>1290</v>
      </c>
      <c r="R19" s="319">
        <f t="shared" si="3"/>
        <v>50507</v>
      </c>
      <c r="S19" s="319">
        <f>S21+S23+S25+S27+S29+S31+S33+S35</f>
        <v>173443</v>
      </c>
      <c r="T19" s="319">
        <f aca="true" t="shared" si="4" ref="T19:T51">SUM(G19:S19)</f>
        <v>1599188</v>
      </c>
      <c r="U19" s="308"/>
    </row>
    <row r="20" spans="2:21" ht="21" customHeight="1">
      <c r="B20" s="308"/>
      <c r="E20" s="320"/>
      <c r="F20" s="321" t="s">
        <v>209</v>
      </c>
      <c r="G20" s="334">
        <f aca="true" t="shared" si="5" ref="G20:S20">G22+G24+G26+G28+G30+G32+G34+G36+G37</f>
        <v>429663</v>
      </c>
      <c r="H20" s="324">
        <f t="shared" si="5"/>
        <v>299470</v>
      </c>
      <c r="I20" s="324">
        <f t="shared" si="5"/>
        <v>301379</v>
      </c>
      <c r="J20" s="445" t="s">
        <v>506</v>
      </c>
      <c r="K20" s="324">
        <f t="shared" si="5"/>
        <v>186641</v>
      </c>
      <c r="L20" s="324">
        <f t="shared" si="5"/>
        <v>63960</v>
      </c>
      <c r="M20" s="324">
        <f t="shared" si="5"/>
        <v>177397</v>
      </c>
      <c r="N20" s="324">
        <f t="shared" si="5"/>
        <v>55781</v>
      </c>
      <c r="O20" s="324">
        <f t="shared" si="5"/>
        <v>220741</v>
      </c>
      <c r="P20" s="324">
        <f t="shared" si="5"/>
        <v>154587</v>
      </c>
      <c r="Q20" s="324">
        <f t="shared" si="5"/>
        <v>12380</v>
      </c>
      <c r="R20" s="324">
        <f t="shared" si="5"/>
        <v>50507</v>
      </c>
      <c r="S20" s="324">
        <f t="shared" si="5"/>
        <v>170412</v>
      </c>
      <c r="T20" s="324">
        <f t="shared" si="4"/>
        <v>2122918</v>
      </c>
      <c r="U20" s="308"/>
    </row>
    <row r="21" spans="2:21" ht="21" customHeight="1">
      <c r="B21" s="308"/>
      <c r="E21" s="305" t="s">
        <v>214</v>
      </c>
      <c r="F21" s="316" t="s">
        <v>208</v>
      </c>
      <c r="G21" s="333">
        <v>37400</v>
      </c>
      <c r="H21" s="319">
        <v>11298</v>
      </c>
      <c r="I21" s="319">
        <v>16822</v>
      </c>
      <c r="J21" s="444">
        <v>0</v>
      </c>
      <c r="K21" s="319">
        <v>7892</v>
      </c>
      <c r="L21" s="319">
        <v>7485</v>
      </c>
      <c r="M21" s="319">
        <v>2318</v>
      </c>
      <c r="N21" s="319">
        <v>1309</v>
      </c>
      <c r="O21" s="319">
        <v>9051</v>
      </c>
      <c r="P21" s="319">
        <v>159</v>
      </c>
      <c r="Q21" s="319">
        <v>0</v>
      </c>
      <c r="R21" s="319">
        <v>723</v>
      </c>
      <c r="S21" s="319">
        <v>2998</v>
      </c>
      <c r="T21" s="319">
        <f t="shared" si="4"/>
        <v>97455</v>
      </c>
      <c r="U21" s="308"/>
    </row>
    <row r="22" spans="2:21" ht="21" customHeight="1">
      <c r="B22" s="308"/>
      <c r="E22" s="320"/>
      <c r="F22" s="321" t="s">
        <v>209</v>
      </c>
      <c r="G22" s="334">
        <v>37400</v>
      </c>
      <c r="H22" s="324">
        <v>11298</v>
      </c>
      <c r="I22" s="324">
        <v>16822</v>
      </c>
      <c r="J22" s="445">
        <v>0</v>
      </c>
      <c r="K22" s="324">
        <v>7892</v>
      </c>
      <c r="L22" s="324">
        <v>0</v>
      </c>
      <c r="M22" s="324">
        <v>2318</v>
      </c>
      <c r="N22" s="324">
        <v>2619</v>
      </c>
      <c r="O22" s="324">
        <v>9051</v>
      </c>
      <c r="P22" s="324">
        <v>318</v>
      </c>
      <c r="Q22" s="324">
        <v>163</v>
      </c>
      <c r="R22" s="324">
        <v>723</v>
      </c>
      <c r="S22" s="324">
        <v>2998</v>
      </c>
      <c r="T22" s="324">
        <f t="shared" si="4"/>
        <v>91602</v>
      </c>
      <c r="U22" s="308"/>
    </row>
    <row r="23" spans="2:21" ht="21" customHeight="1">
      <c r="B23" s="308"/>
      <c r="E23" s="335" t="s">
        <v>499</v>
      </c>
      <c r="F23" s="316" t="s">
        <v>208</v>
      </c>
      <c r="G23" s="333">
        <v>0</v>
      </c>
      <c r="H23" s="319">
        <v>8687</v>
      </c>
      <c r="I23" s="319">
        <v>174673</v>
      </c>
      <c r="J23" s="444">
        <v>0</v>
      </c>
      <c r="K23" s="319">
        <v>84400</v>
      </c>
      <c r="L23" s="319">
        <v>63960</v>
      </c>
      <c r="M23" s="319">
        <v>0</v>
      </c>
      <c r="N23" s="319">
        <v>142</v>
      </c>
      <c r="O23" s="319">
        <v>7935</v>
      </c>
      <c r="P23" s="319">
        <v>0</v>
      </c>
      <c r="Q23" s="319">
        <v>0</v>
      </c>
      <c r="R23" s="319">
        <v>26812</v>
      </c>
      <c r="S23" s="319">
        <v>63814</v>
      </c>
      <c r="T23" s="319">
        <f t="shared" si="4"/>
        <v>430423</v>
      </c>
      <c r="U23" s="308"/>
    </row>
    <row r="24" spans="2:21" ht="21" customHeight="1">
      <c r="B24" s="308"/>
      <c r="E24" s="336"/>
      <c r="F24" s="321" t="s">
        <v>209</v>
      </c>
      <c r="G24" s="334">
        <v>0</v>
      </c>
      <c r="H24" s="324">
        <v>63287</v>
      </c>
      <c r="I24" s="324">
        <v>174673</v>
      </c>
      <c r="J24" s="445">
        <v>0</v>
      </c>
      <c r="K24" s="324">
        <v>64725</v>
      </c>
      <c r="L24" s="324">
        <v>63960</v>
      </c>
      <c r="M24" s="324">
        <v>0</v>
      </c>
      <c r="N24" s="324">
        <v>142</v>
      </c>
      <c r="O24" s="324">
        <v>159064</v>
      </c>
      <c r="P24" s="324">
        <v>0</v>
      </c>
      <c r="Q24" s="324">
        <v>10427</v>
      </c>
      <c r="R24" s="324">
        <v>26812</v>
      </c>
      <c r="S24" s="324">
        <v>60783</v>
      </c>
      <c r="T24" s="324">
        <f t="shared" si="4"/>
        <v>623873</v>
      </c>
      <c r="U24" s="308"/>
    </row>
    <row r="25" spans="2:21" ht="21" customHeight="1">
      <c r="B25" s="308"/>
      <c r="E25" s="335" t="s">
        <v>482</v>
      </c>
      <c r="F25" s="316" t="s">
        <v>208</v>
      </c>
      <c r="G25" s="333">
        <v>127445</v>
      </c>
      <c r="H25" s="319">
        <v>16063</v>
      </c>
      <c r="I25" s="319">
        <v>70850</v>
      </c>
      <c r="J25" s="444">
        <v>0</v>
      </c>
      <c r="K25" s="319">
        <v>41007</v>
      </c>
      <c r="L25" s="319">
        <v>47491</v>
      </c>
      <c r="M25" s="319">
        <v>0</v>
      </c>
      <c r="N25" s="319">
        <v>19970</v>
      </c>
      <c r="O25" s="319">
        <v>0</v>
      </c>
      <c r="P25" s="319">
        <v>6970</v>
      </c>
      <c r="Q25" s="319">
        <v>0</v>
      </c>
      <c r="R25" s="319">
        <v>9385</v>
      </c>
      <c r="S25" s="319">
        <v>28582</v>
      </c>
      <c r="T25" s="319">
        <f t="shared" si="4"/>
        <v>367763</v>
      </c>
      <c r="U25" s="308"/>
    </row>
    <row r="26" spans="2:21" ht="21" customHeight="1">
      <c r="B26" s="308"/>
      <c r="E26" s="320"/>
      <c r="F26" s="321" t="s">
        <v>209</v>
      </c>
      <c r="G26" s="334">
        <v>127445</v>
      </c>
      <c r="H26" s="324">
        <v>16063</v>
      </c>
      <c r="I26" s="324">
        <v>70850</v>
      </c>
      <c r="J26" s="445">
        <v>0</v>
      </c>
      <c r="K26" s="324">
        <v>41007</v>
      </c>
      <c r="L26" s="324">
        <v>0</v>
      </c>
      <c r="M26" s="324">
        <v>0</v>
      </c>
      <c r="N26" s="324">
        <v>19970</v>
      </c>
      <c r="O26" s="324">
        <v>0</v>
      </c>
      <c r="P26" s="324">
        <v>6970</v>
      </c>
      <c r="Q26" s="324">
        <v>0</v>
      </c>
      <c r="R26" s="324">
        <v>9385</v>
      </c>
      <c r="S26" s="324">
        <v>28582</v>
      </c>
      <c r="T26" s="324">
        <f t="shared" si="4"/>
        <v>320272</v>
      </c>
      <c r="U26" s="308"/>
    </row>
    <row r="27" spans="2:21" ht="21" customHeight="1">
      <c r="B27" s="308"/>
      <c r="E27" s="305" t="s">
        <v>215</v>
      </c>
      <c r="F27" s="316" t="s">
        <v>208</v>
      </c>
      <c r="G27" s="333">
        <v>168334</v>
      </c>
      <c r="H27" s="319">
        <v>74120</v>
      </c>
      <c r="I27" s="319">
        <v>25897</v>
      </c>
      <c r="J27" s="444">
        <v>0</v>
      </c>
      <c r="K27" s="319">
        <v>45800</v>
      </c>
      <c r="L27" s="319">
        <v>39531</v>
      </c>
      <c r="M27" s="319">
        <v>0</v>
      </c>
      <c r="N27" s="425">
        <v>22138</v>
      </c>
      <c r="O27" s="319">
        <v>40876</v>
      </c>
      <c r="P27" s="319">
        <v>7985</v>
      </c>
      <c r="Q27" s="319">
        <v>0</v>
      </c>
      <c r="R27" s="319">
        <v>11747</v>
      </c>
      <c r="S27" s="319">
        <v>50344</v>
      </c>
      <c r="T27" s="319">
        <f t="shared" si="4"/>
        <v>486772</v>
      </c>
      <c r="U27" s="308"/>
    </row>
    <row r="28" spans="2:21" ht="21" customHeight="1">
      <c r="B28" s="308"/>
      <c r="E28" s="320" t="s">
        <v>216</v>
      </c>
      <c r="F28" s="321" t="s">
        <v>209</v>
      </c>
      <c r="G28" s="334">
        <v>168334</v>
      </c>
      <c r="H28" s="324">
        <v>74120</v>
      </c>
      <c r="I28" s="324">
        <v>25897</v>
      </c>
      <c r="J28" s="445">
        <v>0</v>
      </c>
      <c r="K28" s="324">
        <v>45800</v>
      </c>
      <c r="L28" s="324">
        <v>0</v>
      </c>
      <c r="M28" s="324">
        <v>0</v>
      </c>
      <c r="N28" s="427">
        <v>22138</v>
      </c>
      <c r="O28" s="324">
        <v>40876</v>
      </c>
      <c r="P28" s="324">
        <v>7985</v>
      </c>
      <c r="Q28" s="324">
        <v>0</v>
      </c>
      <c r="R28" s="324">
        <v>11747</v>
      </c>
      <c r="S28" s="324">
        <v>50344</v>
      </c>
      <c r="T28" s="324">
        <f t="shared" si="4"/>
        <v>447241</v>
      </c>
      <c r="U28" s="308"/>
    </row>
    <row r="29" spans="2:21" ht="21" customHeight="1">
      <c r="B29" s="308"/>
      <c r="E29" s="305" t="s">
        <v>217</v>
      </c>
      <c r="F29" s="316" t="s">
        <v>208</v>
      </c>
      <c r="G29" s="333">
        <v>0</v>
      </c>
      <c r="H29" s="319">
        <v>0</v>
      </c>
      <c r="I29" s="319">
        <v>0</v>
      </c>
      <c r="J29" s="444">
        <v>0</v>
      </c>
      <c r="K29" s="319">
        <v>0</v>
      </c>
      <c r="L29" s="319">
        <v>0</v>
      </c>
      <c r="M29" s="319">
        <v>0</v>
      </c>
      <c r="N29" s="319">
        <v>0</v>
      </c>
      <c r="O29" s="319">
        <v>0</v>
      </c>
      <c r="P29" s="319"/>
      <c r="Q29" s="319">
        <v>0</v>
      </c>
      <c r="R29" s="319">
        <v>0</v>
      </c>
      <c r="S29" s="319">
        <v>0</v>
      </c>
      <c r="T29" s="319">
        <f t="shared" si="4"/>
        <v>0</v>
      </c>
      <c r="U29" s="308"/>
    </row>
    <row r="30" spans="2:21" ht="21" customHeight="1">
      <c r="B30" s="308"/>
      <c r="E30" s="320"/>
      <c r="F30" s="321" t="s">
        <v>209</v>
      </c>
      <c r="G30" s="334">
        <v>0</v>
      </c>
      <c r="H30" s="324">
        <v>0</v>
      </c>
      <c r="I30" s="324">
        <v>0</v>
      </c>
      <c r="J30" s="445">
        <v>0</v>
      </c>
      <c r="K30" s="324">
        <v>0</v>
      </c>
      <c r="L30" s="324">
        <v>0</v>
      </c>
      <c r="M30" s="324">
        <v>0</v>
      </c>
      <c r="N30" s="324">
        <v>0</v>
      </c>
      <c r="O30" s="324">
        <v>0</v>
      </c>
      <c r="P30" s="324">
        <v>0</v>
      </c>
      <c r="Q30" s="324">
        <v>0</v>
      </c>
      <c r="R30" s="324">
        <v>0</v>
      </c>
      <c r="S30" s="324">
        <v>0</v>
      </c>
      <c r="T30" s="324">
        <f t="shared" si="4"/>
        <v>0</v>
      </c>
      <c r="U30" s="308"/>
    </row>
    <row r="31" spans="2:21" ht="21" customHeight="1">
      <c r="B31" s="308"/>
      <c r="E31" s="337" t="s">
        <v>281</v>
      </c>
      <c r="F31" s="316" t="s">
        <v>208</v>
      </c>
      <c r="G31" s="333">
        <v>0</v>
      </c>
      <c r="H31" s="319">
        <v>15221</v>
      </c>
      <c r="I31" s="319">
        <v>13137</v>
      </c>
      <c r="J31" s="444">
        <v>0</v>
      </c>
      <c r="K31" s="319">
        <v>12741</v>
      </c>
      <c r="L31" s="319">
        <v>3081</v>
      </c>
      <c r="M31" s="319">
        <v>0</v>
      </c>
      <c r="N31" s="319">
        <v>5000</v>
      </c>
      <c r="O31" s="319">
        <v>6715</v>
      </c>
      <c r="P31" s="319">
        <v>1760</v>
      </c>
      <c r="Q31" s="319">
        <v>1290</v>
      </c>
      <c r="R31" s="319">
        <v>1840</v>
      </c>
      <c r="S31" s="319">
        <v>18778</v>
      </c>
      <c r="T31" s="319">
        <f t="shared" si="4"/>
        <v>79563</v>
      </c>
      <c r="U31" s="308"/>
    </row>
    <row r="32" spans="2:21" ht="21" customHeight="1">
      <c r="B32" s="308"/>
      <c r="E32" s="480"/>
      <c r="F32" s="321" t="s">
        <v>209</v>
      </c>
      <c r="G32" s="334">
        <v>0</v>
      </c>
      <c r="H32" s="324">
        <v>15221</v>
      </c>
      <c r="I32" s="324">
        <v>13137</v>
      </c>
      <c r="J32" s="445">
        <v>0</v>
      </c>
      <c r="K32" s="324">
        <v>14209</v>
      </c>
      <c r="L32" s="324">
        <v>0</v>
      </c>
      <c r="M32" s="324">
        <v>0</v>
      </c>
      <c r="N32" s="324">
        <v>5000</v>
      </c>
      <c r="O32" s="324">
        <v>6715</v>
      </c>
      <c r="P32" s="324">
        <v>1760</v>
      </c>
      <c r="Q32" s="324">
        <v>1290</v>
      </c>
      <c r="R32" s="324">
        <v>1840</v>
      </c>
      <c r="S32" s="324">
        <v>18778</v>
      </c>
      <c r="T32" s="324">
        <f t="shared" si="4"/>
        <v>77950</v>
      </c>
      <c r="U32" s="308"/>
    </row>
    <row r="33" spans="2:21" ht="21" customHeight="1">
      <c r="B33" s="308"/>
      <c r="E33" s="335" t="s">
        <v>317</v>
      </c>
      <c r="F33" s="316" t="s">
        <v>208</v>
      </c>
      <c r="G33" s="333">
        <v>96484</v>
      </c>
      <c r="H33" s="319">
        <v>14458</v>
      </c>
      <c r="I33" s="319">
        <v>0</v>
      </c>
      <c r="J33" s="444">
        <v>0</v>
      </c>
      <c r="K33" s="319">
        <v>10081</v>
      </c>
      <c r="L33" s="319">
        <v>0</v>
      </c>
      <c r="M33" s="319">
        <v>0</v>
      </c>
      <c r="N33" s="319">
        <v>0</v>
      </c>
      <c r="O33" s="319">
        <v>3835</v>
      </c>
      <c r="P33" s="319">
        <v>0</v>
      </c>
      <c r="Q33" s="319">
        <v>0</v>
      </c>
      <c r="R33" s="319">
        <v>0</v>
      </c>
      <c r="S33" s="319">
        <v>8927</v>
      </c>
      <c r="T33" s="319">
        <f t="shared" si="4"/>
        <v>133785</v>
      </c>
      <c r="U33" s="308"/>
    </row>
    <row r="34" spans="2:21" ht="21" customHeight="1">
      <c r="B34" s="308"/>
      <c r="E34" s="320"/>
      <c r="F34" s="321" t="s">
        <v>209</v>
      </c>
      <c r="G34" s="334">
        <v>96484</v>
      </c>
      <c r="H34" s="324">
        <v>14458</v>
      </c>
      <c r="I34" s="324">
        <v>0</v>
      </c>
      <c r="J34" s="445">
        <v>0</v>
      </c>
      <c r="K34" s="324">
        <v>10081</v>
      </c>
      <c r="L34" s="324">
        <v>0</v>
      </c>
      <c r="M34" s="324">
        <v>0</v>
      </c>
      <c r="N34" s="324">
        <v>0</v>
      </c>
      <c r="O34" s="324">
        <v>3835</v>
      </c>
      <c r="P34" s="324">
        <v>0</v>
      </c>
      <c r="Q34" s="324">
        <v>0</v>
      </c>
      <c r="R34" s="324">
        <v>0</v>
      </c>
      <c r="S34" s="324">
        <v>8927</v>
      </c>
      <c r="T34" s="324">
        <f t="shared" si="4"/>
        <v>133785</v>
      </c>
      <c r="U34" s="308"/>
    </row>
    <row r="35" spans="2:21" ht="21" customHeight="1">
      <c r="B35" s="308"/>
      <c r="E35" s="335" t="s">
        <v>500</v>
      </c>
      <c r="F35" s="316" t="s">
        <v>208</v>
      </c>
      <c r="G35" s="333">
        <v>0</v>
      </c>
      <c r="H35" s="319">
        <v>0</v>
      </c>
      <c r="I35" s="319">
        <v>0</v>
      </c>
      <c r="J35" s="444">
        <v>0</v>
      </c>
      <c r="K35" s="319">
        <v>2927</v>
      </c>
      <c r="L35" s="319">
        <v>0</v>
      </c>
      <c r="M35" s="319">
        <v>0</v>
      </c>
      <c r="N35" s="319">
        <v>500</v>
      </c>
      <c r="O35" s="319">
        <v>0</v>
      </c>
      <c r="P35" s="319">
        <v>0</v>
      </c>
      <c r="Q35" s="319">
        <v>0</v>
      </c>
      <c r="R35" s="319">
        <v>0</v>
      </c>
      <c r="S35" s="319">
        <v>0</v>
      </c>
      <c r="T35" s="319">
        <f t="shared" si="4"/>
        <v>3427</v>
      </c>
      <c r="U35" s="308"/>
    </row>
    <row r="36" spans="2:21" ht="21" customHeight="1">
      <c r="B36" s="308"/>
      <c r="E36" s="338" t="s">
        <v>501</v>
      </c>
      <c r="F36" s="321" t="s">
        <v>209</v>
      </c>
      <c r="G36" s="334">
        <v>0</v>
      </c>
      <c r="H36" s="324">
        <v>0</v>
      </c>
      <c r="I36" s="324">
        <v>0</v>
      </c>
      <c r="J36" s="445">
        <v>0</v>
      </c>
      <c r="K36" s="324">
        <v>2927</v>
      </c>
      <c r="L36" s="324">
        <v>0</v>
      </c>
      <c r="M36" s="324">
        <v>0</v>
      </c>
      <c r="N36" s="324">
        <v>500</v>
      </c>
      <c r="O36" s="324">
        <v>0</v>
      </c>
      <c r="P36" s="324">
        <v>0</v>
      </c>
      <c r="Q36" s="324">
        <v>500</v>
      </c>
      <c r="R36" s="324">
        <v>0</v>
      </c>
      <c r="S36" s="324">
        <v>0</v>
      </c>
      <c r="T36" s="324">
        <f t="shared" si="4"/>
        <v>3927</v>
      </c>
      <c r="U36" s="308"/>
    </row>
    <row r="37" spans="2:21" ht="21" customHeight="1">
      <c r="B37" s="308"/>
      <c r="D37" s="320"/>
      <c r="E37" s="320" t="s">
        <v>192</v>
      </c>
      <c r="F37" s="321" t="s">
        <v>209</v>
      </c>
      <c r="G37" s="334">
        <v>0</v>
      </c>
      <c r="H37" s="324">
        <v>105023</v>
      </c>
      <c r="I37" s="324">
        <v>0</v>
      </c>
      <c r="J37" s="445">
        <v>0</v>
      </c>
      <c r="K37" s="324"/>
      <c r="L37" s="324">
        <v>0</v>
      </c>
      <c r="M37" s="324">
        <v>175079</v>
      </c>
      <c r="N37" s="324">
        <v>5412</v>
      </c>
      <c r="O37" s="324">
        <v>1200</v>
      </c>
      <c r="P37" s="324">
        <v>137554</v>
      </c>
      <c r="Q37" s="324">
        <v>0</v>
      </c>
      <c r="R37" s="324">
        <v>0</v>
      </c>
      <c r="S37" s="324">
        <v>0</v>
      </c>
      <c r="T37" s="324">
        <f t="shared" si="4"/>
        <v>424268</v>
      </c>
      <c r="U37" s="308"/>
    </row>
    <row r="38" spans="2:21" ht="21" customHeight="1">
      <c r="B38" s="308"/>
      <c r="D38" s="305" t="s">
        <v>207</v>
      </c>
      <c r="F38" s="316" t="s">
        <v>208</v>
      </c>
      <c r="G38" s="333">
        <f>G40+G42+G44+G46+G48+G50+'08繰入金(2)'!G9+'08繰入金(2)'!G11+'08繰入金(2)'!G13+'08繰入金(2)'!G15</f>
        <v>46409</v>
      </c>
      <c r="H38" s="319">
        <f>H40+H42+H44+H46+H48+H50+'08繰入金(2)'!H9+'08繰入金(2)'!H11+'08繰入金(2)'!H13+'08繰入金(2)'!H15</f>
        <v>38507</v>
      </c>
      <c r="I38" s="319">
        <f>I40+I42+I44+I46+I48+I50+'08繰入金(2)'!I9+'08繰入金(2)'!I11+'08繰入金(2)'!I13+'08繰入金(2)'!I15</f>
        <v>169800</v>
      </c>
      <c r="J38" s="444" t="s">
        <v>506</v>
      </c>
      <c r="K38" s="319">
        <f>K40+K42+K44+K46+K48+K50+'08繰入金(2)'!K9+'08繰入金(2)'!K11+'08繰入金(2)'!K13+'08繰入金(2)'!K15</f>
        <v>440872</v>
      </c>
      <c r="L38" s="319">
        <f>L40+L42+L44+L46+L48+L50+'08繰入金(2)'!L9+'08繰入金(2)'!L11+'08繰入金(2)'!L13+'08繰入金(2)'!L15</f>
        <v>138253</v>
      </c>
      <c r="M38" s="319">
        <f>M40+M42+M44+M46+M48+M50+'08繰入金(2)'!M9+'08繰入金(2)'!M11+'08繰入金(2)'!M13+'08繰入金(2)'!M15</f>
        <v>45779</v>
      </c>
      <c r="N38" s="319">
        <f>N40+N42+N44+N46+N48+N50+'08繰入金(2)'!N9+'08繰入金(2)'!N11+'08繰入金(2)'!N13+'08繰入金(2)'!N15</f>
        <v>107153</v>
      </c>
      <c r="O38" s="319">
        <f>O40+O42+O44+O46+O48+O50+'08繰入金(2)'!O9+'08繰入金(2)'!O11+'08繰入金(2)'!O13+'08繰入金(2)'!O15</f>
        <v>56229</v>
      </c>
      <c r="P38" s="319">
        <f>P40+P42+P44+P46+P48+P50+'08繰入金(2)'!P9+'08繰入金(2)'!P11+'08繰入金(2)'!P13+'08繰入金(2)'!P15</f>
        <v>1964</v>
      </c>
      <c r="Q38" s="319">
        <f>Q40+Q42+Q44+Q46+Q48+Q50+'08繰入金(2)'!Q9+'08繰入金(2)'!Q11+'08繰入金(2)'!Q13+'08繰入金(2)'!Q15</f>
        <v>53780</v>
      </c>
      <c r="R38" s="319">
        <f>R40+R42+R44+R46+R48+R50+'08繰入金(2)'!R9+'08繰入金(2)'!R11+'08繰入金(2)'!R13+'08繰入金(2)'!R15</f>
        <v>127532</v>
      </c>
      <c r="S38" s="319">
        <f>S40+S42+S44+S46+S48+S50+'08繰入金(2)'!S9+'08繰入金(2)'!S11+'08繰入金(2)'!S13+'08繰入金(2)'!S15</f>
        <v>33726</v>
      </c>
      <c r="T38" s="319">
        <f t="shared" si="4"/>
        <v>1260004</v>
      </c>
      <c r="U38" s="308"/>
    </row>
    <row r="39" spans="2:21" ht="21" customHeight="1">
      <c r="B39" s="308"/>
      <c r="E39" s="320"/>
      <c r="F39" s="321" t="s">
        <v>209</v>
      </c>
      <c r="G39" s="334">
        <f>G41+G43+G45+G47+G49+G51+'08繰入金(2)'!G10+'08繰入金(2)'!G12+'08繰入金(2)'!G14+'08繰入金(2)'!G16+'08繰入金(2)'!G17</f>
        <v>46409</v>
      </c>
      <c r="H39" s="324">
        <f>H41+H43+H45+H47+H49+H51+'08繰入金(2)'!H10+'08繰入金(2)'!H12+'08繰入金(2)'!H14+'08繰入金(2)'!H16+'08繰入金(2)'!H17</f>
        <v>504600</v>
      </c>
      <c r="I39" s="324">
        <f>I41+I43+I45+I47+I49+I51+'08繰入金(2)'!I10+'08繰入金(2)'!I12+'08繰入金(2)'!I14+'08繰入金(2)'!I16+'08繰入金(2)'!I17</f>
        <v>171800</v>
      </c>
      <c r="J39" s="445" t="s">
        <v>506</v>
      </c>
      <c r="K39" s="324">
        <f>K41+K43+K45+K47+K49+K51+'08繰入金(2)'!K10+'08繰入金(2)'!K12+'08繰入金(2)'!K14+'08繰入金(2)'!K16+'08繰入金(2)'!K17</f>
        <v>480512</v>
      </c>
      <c r="L39" s="324">
        <f>L41+L43+L45+L47+L49+L51+'08繰入金(2)'!L10+'08繰入金(2)'!L12+'08繰入金(2)'!L14+'08繰入金(2)'!L16+'08繰入金(2)'!L17</f>
        <v>78698</v>
      </c>
      <c r="M39" s="324">
        <f>M41+M43+M45+M47+M49+M51+'08繰入金(2)'!M10+'08繰入金(2)'!M12+'08繰入金(2)'!M14+'08繰入金(2)'!M16+'08繰入金(2)'!M17</f>
        <v>45779</v>
      </c>
      <c r="N39" s="324">
        <f>N41+N43+N45+N47+N49+N51+'08繰入金(2)'!N10+'08繰入金(2)'!N12+'08繰入金(2)'!N14+'08繰入金(2)'!N16+'08繰入金(2)'!N17</f>
        <v>336936</v>
      </c>
      <c r="O39" s="324">
        <f>O41+O43+O45+O47+O49+O51+'08繰入金(2)'!O10+'08繰入金(2)'!O12+'08繰入金(2)'!O14+'08繰入金(2)'!O16+'08繰入金(2)'!O17</f>
        <v>683129</v>
      </c>
      <c r="P39" s="324">
        <f>P41+P43+P45+P47+P49+P51+'08繰入金(2)'!P10+'08繰入金(2)'!P12+'08繰入金(2)'!P14+'08繰入金(2)'!P16+'08繰入金(2)'!P17</f>
        <v>3169</v>
      </c>
      <c r="Q39" s="324">
        <f>Q41+Q43+Q45+Q47+Q49+Q51+'08繰入金(2)'!Q10+'08繰入金(2)'!Q12+'08繰入金(2)'!Q14+'08繰入金(2)'!Q16+'08繰入金(2)'!Q17</f>
        <v>53780</v>
      </c>
      <c r="R39" s="324">
        <f>R41+R43+R45+R47+R49+R51+'08繰入金(2)'!R10+'08繰入金(2)'!R12+'08繰入金(2)'!R14+'08繰入金(2)'!R16+'08繰入金(2)'!R17</f>
        <v>127532</v>
      </c>
      <c r="S39" s="324">
        <f>S41+S43+S45+S47+S49+S51+'08繰入金(2)'!S10+'08繰入金(2)'!S12+'08繰入金(2)'!S14+'08繰入金(2)'!S16+'08繰入金(2)'!S17</f>
        <v>33726</v>
      </c>
      <c r="T39" s="324">
        <f t="shared" si="4"/>
        <v>2566070</v>
      </c>
      <c r="U39" s="308"/>
    </row>
    <row r="40" spans="2:21" ht="21" customHeight="1">
      <c r="B40" s="308"/>
      <c r="E40" s="305" t="s">
        <v>218</v>
      </c>
      <c r="F40" s="316" t="s">
        <v>208</v>
      </c>
      <c r="G40" s="424">
        <v>45699</v>
      </c>
      <c r="H40" s="425">
        <v>8879</v>
      </c>
      <c r="I40" s="425">
        <v>162229</v>
      </c>
      <c r="J40" s="446">
        <v>0</v>
      </c>
      <c r="K40" s="425">
        <v>148854</v>
      </c>
      <c r="L40" s="425">
        <v>68914</v>
      </c>
      <c r="M40" s="425">
        <v>19194</v>
      </c>
      <c r="N40" s="425">
        <v>19153</v>
      </c>
      <c r="O40" s="425">
        <v>21151</v>
      </c>
      <c r="P40" s="425">
        <v>1964</v>
      </c>
      <c r="Q40" s="425">
        <v>9602</v>
      </c>
      <c r="R40" s="425">
        <v>2934</v>
      </c>
      <c r="S40" s="425">
        <v>33726</v>
      </c>
      <c r="T40" s="319">
        <f t="shared" si="4"/>
        <v>542299</v>
      </c>
      <c r="U40" s="308"/>
    </row>
    <row r="41" spans="2:21" ht="21" customHeight="1">
      <c r="B41" s="308"/>
      <c r="E41" s="338" t="s">
        <v>484</v>
      </c>
      <c r="F41" s="321" t="s">
        <v>209</v>
      </c>
      <c r="G41" s="426">
        <v>45699</v>
      </c>
      <c r="H41" s="427">
        <v>8879</v>
      </c>
      <c r="I41" s="427">
        <v>162229</v>
      </c>
      <c r="J41" s="447">
        <v>0</v>
      </c>
      <c r="K41" s="427">
        <v>148854</v>
      </c>
      <c r="L41" s="427">
        <v>68914</v>
      </c>
      <c r="M41" s="427">
        <v>19194</v>
      </c>
      <c r="N41" s="427">
        <v>28731</v>
      </c>
      <c r="O41" s="427">
        <v>21151</v>
      </c>
      <c r="P41" s="427">
        <v>3169</v>
      </c>
      <c r="Q41" s="427">
        <v>9602</v>
      </c>
      <c r="R41" s="427">
        <v>2934</v>
      </c>
      <c r="S41" s="427">
        <v>33726</v>
      </c>
      <c r="T41" s="324">
        <f t="shared" si="4"/>
        <v>553082</v>
      </c>
      <c r="U41" s="308"/>
    </row>
    <row r="42" spans="2:21" ht="21" customHeight="1">
      <c r="B42" s="308"/>
      <c r="E42" s="305" t="s">
        <v>219</v>
      </c>
      <c r="F42" s="316" t="s">
        <v>208</v>
      </c>
      <c r="G42" s="424">
        <v>0</v>
      </c>
      <c r="H42" s="425">
        <v>0</v>
      </c>
      <c r="I42" s="425">
        <v>0</v>
      </c>
      <c r="J42" s="446">
        <v>0</v>
      </c>
      <c r="K42" s="425">
        <v>0</v>
      </c>
      <c r="L42" s="425">
        <v>0</v>
      </c>
      <c r="M42" s="425">
        <v>0</v>
      </c>
      <c r="N42" s="425">
        <v>0</v>
      </c>
      <c r="O42" s="425">
        <v>0</v>
      </c>
      <c r="P42" s="425">
        <v>0</v>
      </c>
      <c r="Q42" s="425">
        <v>0</v>
      </c>
      <c r="R42" s="425">
        <v>15116</v>
      </c>
      <c r="S42" s="425">
        <v>0</v>
      </c>
      <c r="T42" s="319">
        <f t="shared" si="4"/>
        <v>15116</v>
      </c>
      <c r="U42" s="308"/>
    </row>
    <row r="43" spans="2:21" ht="21" customHeight="1">
      <c r="B43" s="308"/>
      <c r="E43" s="320"/>
      <c r="F43" s="321" t="s">
        <v>209</v>
      </c>
      <c r="G43" s="426">
        <v>0</v>
      </c>
      <c r="H43" s="427">
        <v>0</v>
      </c>
      <c r="I43" s="427">
        <v>0</v>
      </c>
      <c r="J43" s="447">
        <v>0</v>
      </c>
      <c r="K43" s="427">
        <v>0</v>
      </c>
      <c r="L43" s="427">
        <v>0</v>
      </c>
      <c r="M43" s="427">
        <v>0</v>
      </c>
      <c r="N43" s="427">
        <v>0</v>
      </c>
      <c r="O43" s="427">
        <v>0</v>
      </c>
      <c r="P43" s="427">
        <v>0</v>
      </c>
      <c r="Q43" s="427">
        <v>0</v>
      </c>
      <c r="R43" s="427">
        <v>15116</v>
      </c>
      <c r="S43" s="427">
        <v>0</v>
      </c>
      <c r="T43" s="324">
        <f t="shared" si="4"/>
        <v>15116</v>
      </c>
      <c r="U43" s="308"/>
    </row>
    <row r="44" spans="2:21" ht="21" customHeight="1">
      <c r="B44" s="308"/>
      <c r="E44" s="305" t="s">
        <v>220</v>
      </c>
      <c r="F44" s="316" t="s">
        <v>208</v>
      </c>
      <c r="G44" s="424">
        <v>0</v>
      </c>
      <c r="H44" s="425">
        <v>0</v>
      </c>
      <c r="I44" s="425">
        <v>0</v>
      </c>
      <c r="J44" s="446">
        <v>0</v>
      </c>
      <c r="K44" s="425">
        <v>0</v>
      </c>
      <c r="L44" s="425">
        <v>0</v>
      </c>
      <c r="M44" s="425">
        <v>0</v>
      </c>
      <c r="N44" s="425">
        <v>88000</v>
      </c>
      <c r="O44" s="425">
        <v>0</v>
      </c>
      <c r="P44" s="425">
        <v>0</v>
      </c>
      <c r="Q44" s="425">
        <v>41000</v>
      </c>
      <c r="R44" s="425">
        <v>91129</v>
      </c>
      <c r="S44" s="425">
        <v>0</v>
      </c>
      <c r="T44" s="319">
        <f t="shared" si="4"/>
        <v>220129</v>
      </c>
      <c r="U44" s="308"/>
    </row>
    <row r="45" spans="2:21" ht="21" customHeight="1">
      <c r="B45" s="308"/>
      <c r="E45" s="320"/>
      <c r="F45" s="321" t="s">
        <v>209</v>
      </c>
      <c r="G45" s="426">
        <v>0</v>
      </c>
      <c r="H45" s="427">
        <v>0</v>
      </c>
      <c r="I45" s="427">
        <v>0</v>
      </c>
      <c r="J45" s="447">
        <v>0</v>
      </c>
      <c r="K45" s="427">
        <v>0</v>
      </c>
      <c r="L45" s="427">
        <v>0</v>
      </c>
      <c r="M45" s="427">
        <v>0</v>
      </c>
      <c r="N45" s="427">
        <v>255608</v>
      </c>
      <c r="O45" s="427">
        <v>0</v>
      </c>
      <c r="P45" s="427">
        <v>0</v>
      </c>
      <c r="Q45" s="427">
        <v>41000</v>
      </c>
      <c r="R45" s="427">
        <v>91129</v>
      </c>
      <c r="S45" s="427">
        <v>0</v>
      </c>
      <c r="T45" s="324">
        <f t="shared" si="4"/>
        <v>387737</v>
      </c>
      <c r="U45" s="308"/>
    </row>
    <row r="46" spans="2:21" ht="21" customHeight="1">
      <c r="B46" s="308"/>
      <c r="E46" s="305" t="s">
        <v>221</v>
      </c>
      <c r="F46" s="316" t="s">
        <v>208</v>
      </c>
      <c r="G46" s="424">
        <v>0</v>
      </c>
      <c r="H46" s="425">
        <v>0</v>
      </c>
      <c r="I46" s="425">
        <v>0</v>
      </c>
      <c r="J46" s="446">
        <v>0</v>
      </c>
      <c r="K46" s="425">
        <v>0</v>
      </c>
      <c r="L46" s="425">
        <v>0</v>
      </c>
      <c r="M46" s="425">
        <v>0</v>
      </c>
      <c r="N46" s="425">
        <v>0</v>
      </c>
      <c r="O46" s="425">
        <v>0</v>
      </c>
      <c r="P46" s="425">
        <v>0</v>
      </c>
      <c r="Q46" s="425">
        <v>0</v>
      </c>
      <c r="R46" s="425">
        <v>0</v>
      </c>
      <c r="S46" s="425">
        <v>0</v>
      </c>
      <c r="T46" s="319">
        <f t="shared" si="4"/>
        <v>0</v>
      </c>
      <c r="U46" s="308"/>
    </row>
    <row r="47" spans="2:21" ht="21" customHeight="1">
      <c r="B47" s="308"/>
      <c r="E47" s="320"/>
      <c r="F47" s="321" t="s">
        <v>209</v>
      </c>
      <c r="G47" s="426">
        <v>0</v>
      </c>
      <c r="H47" s="427">
        <v>0</v>
      </c>
      <c r="I47" s="427">
        <v>0</v>
      </c>
      <c r="J47" s="447">
        <v>0</v>
      </c>
      <c r="K47" s="427">
        <v>0</v>
      </c>
      <c r="L47" s="427">
        <v>0</v>
      </c>
      <c r="M47" s="427">
        <v>0</v>
      </c>
      <c r="N47" s="427">
        <v>0</v>
      </c>
      <c r="O47" s="427">
        <v>0</v>
      </c>
      <c r="P47" s="427">
        <v>0</v>
      </c>
      <c r="Q47" s="427">
        <v>0</v>
      </c>
      <c r="R47" s="427">
        <v>0</v>
      </c>
      <c r="S47" s="427">
        <v>0</v>
      </c>
      <c r="T47" s="324">
        <f t="shared" si="4"/>
        <v>0</v>
      </c>
      <c r="U47" s="308"/>
    </row>
    <row r="48" spans="2:21" ht="21" customHeight="1">
      <c r="B48" s="308"/>
      <c r="E48" s="335" t="s">
        <v>282</v>
      </c>
      <c r="F48" s="316" t="s">
        <v>208</v>
      </c>
      <c r="G48" s="424">
        <v>0</v>
      </c>
      <c r="H48" s="425">
        <v>0</v>
      </c>
      <c r="I48" s="425">
        <v>0</v>
      </c>
      <c r="J48" s="446">
        <v>0</v>
      </c>
      <c r="K48" s="425">
        <v>0</v>
      </c>
      <c r="L48" s="425">
        <v>0</v>
      </c>
      <c r="M48" s="425">
        <v>0</v>
      </c>
      <c r="N48" s="425">
        <v>0</v>
      </c>
      <c r="O48" s="425">
        <v>0</v>
      </c>
      <c r="P48" s="425">
        <v>0</v>
      </c>
      <c r="Q48" s="425">
        <v>0</v>
      </c>
      <c r="R48" s="425">
        <v>0</v>
      </c>
      <c r="S48" s="425">
        <v>0</v>
      </c>
      <c r="T48" s="319">
        <f t="shared" si="4"/>
        <v>0</v>
      </c>
      <c r="U48" s="308"/>
    </row>
    <row r="49" spans="2:21" ht="21" customHeight="1">
      <c r="B49" s="308"/>
      <c r="E49" s="320"/>
      <c r="F49" s="321" t="s">
        <v>209</v>
      </c>
      <c r="G49" s="426">
        <v>0</v>
      </c>
      <c r="H49" s="427">
        <v>0</v>
      </c>
      <c r="I49" s="427">
        <v>0</v>
      </c>
      <c r="J49" s="447">
        <v>0</v>
      </c>
      <c r="K49" s="427">
        <v>0</v>
      </c>
      <c r="L49" s="427">
        <v>0</v>
      </c>
      <c r="M49" s="427">
        <v>0</v>
      </c>
      <c r="N49" s="427">
        <v>0</v>
      </c>
      <c r="O49" s="427">
        <v>0</v>
      </c>
      <c r="P49" s="427">
        <v>0</v>
      </c>
      <c r="Q49" s="427">
        <v>0</v>
      </c>
      <c r="R49" s="427">
        <v>0</v>
      </c>
      <c r="S49" s="427">
        <v>0</v>
      </c>
      <c r="T49" s="324">
        <f t="shared" si="4"/>
        <v>0</v>
      </c>
      <c r="U49" s="308"/>
    </row>
    <row r="50" spans="2:21" ht="21" customHeight="1">
      <c r="B50" s="308"/>
      <c r="E50" s="305" t="s">
        <v>222</v>
      </c>
      <c r="F50" s="316" t="s">
        <v>208</v>
      </c>
      <c r="G50" s="424">
        <v>0</v>
      </c>
      <c r="H50" s="425">
        <v>1709</v>
      </c>
      <c r="I50" s="425">
        <v>7571</v>
      </c>
      <c r="J50" s="446">
        <v>0</v>
      </c>
      <c r="K50" s="425">
        <v>44005</v>
      </c>
      <c r="L50" s="425">
        <v>0</v>
      </c>
      <c r="M50" s="425">
        <v>0</v>
      </c>
      <c r="N50" s="425">
        <v>0</v>
      </c>
      <c r="O50" s="425">
        <v>8052</v>
      </c>
      <c r="P50" s="425">
        <v>0</v>
      </c>
      <c r="Q50" s="425">
        <v>2393</v>
      </c>
      <c r="R50" s="425">
        <v>5300</v>
      </c>
      <c r="S50" s="425">
        <v>0</v>
      </c>
      <c r="T50" s="319">
        <f t="shared" si="4"/>
        <v>69030</v>
      </c>
      <c r="U50" s="308"/>
    </row>
    <row r="51" spans="2:21" ht="21" customHeight="1" thickBot="1">
      <c r="B51" s="309"/>
      <c r="C51" s="306"/>
      <c r="D51" s="306"/>
      <c r="E51" s="306"/>
      <c r="F51" s="339" t="s">
        <v>209</v>
      </c>
      <c r="G51" s="340">
        <v>0</v>
      </c>
      <c r="H51" s="341">
        <v>1709</v>
      </c>
      <c r="I51" s="341">
        <v>7571</v>
      </c>
      <c r="J51" s="448">
        <v>0</v>
      </c>
      <c r="K51" s="341">
        <v>44005</v>
      </c>
      <c r="L51" s="341">
        <v>0</v>
      </c>
      <c r="M51" s="341">
        <v>0</v>
      </c>
      <c r="N51" s="341">
        <v>0</v>
      </c>
      <c r="O51" s="341">
        <v>8052</v>
      </c>
      <c r="P51" s="341">
        <v>0</v>
      </c>
      <c r="Q51" s="341">
        <v>2393</v>
      </c>
      <c r="R51" s="341">
        <v>5300</v>
      </c>
      <c r="S51" s="341">
        <v>0</v>
      </c>
      <c r="T51" s="342">
        <f t="shared" si="4"/>
        <v>69030</v>
      </c>
      <c r="U51" s="308"/>
    </row>
    <row r="54" spans="18:20" ht="17.25">
      <c r="R54" s="414" t="s">
        <v>487</v>
      </c>
      <c r="S54" s="414" t="s">
        <v>489</v>
      </c>
      <c r="T54" s="415">
        <f>T11+T19+T38+'08繰入金(2)'!T19</f>
        <v>4016408</v>
      </c>
    </row>
    <row r="55" spans="19:20" ht="17.25">
      <c r="S55" s="414" t="s">
        <v>490</v>
      </c>
      <c r="T55" s="415">
        <f>T12+T20+T39+'08繰入金(2)'!T20</f>
        <v>5705034</v>
      </c>
    </row>
  </sheetData>
  <sheetProtection/>
  <mergeCells count="1">
    <mergeCell ref="J6:J7"/>
  </mergeCells>
  <printOptions/>
  <pageMargins left="0.7874015748031497" right="0.3937007874015748" top="0.7874015748031497" bottom="0.5905511811023623" header="0.5905511811023623" footer="0.3937007874015748"/>
  <pageSetup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U56"/>
  <sheetViews>
    <sheetView showGridLines="0" showZeros="0" view="pageBreakPreview" zoomScale="60" zoomScaleNormal="65" zoomScalePageLayoutView="0" workbookViewId="0" topLeftCell="A1">
      <pane xSplit="6" ySplit="8" topLeftCell="G9" activePane="bottomRight" state="frozen"/>
      <selection pane="topLeft" activeCell="Q20" sqref="Q20"/>
      <selection pane="topRight" activeCell="Q20" sqref="Q20"/>
      <selection pane="bottomLeft" activeCell="Q20" sqref="Q20"/>
      <selection pane="bottomRight" activeCell="B1" sqref="B1"/>
    </sheetView>
  </sheetViews>
  <sheetFormatPr defaultColWidth="8.66015625" defaultRowHeight="18"/>
  <cols>
    <col min="1" max="1" width="1.66015625" style="348" customWidth="1"/>
    <col min="2" max="4" width="2.66015625" style="348" customWidth="1"/>
    <col min="5" max="5" width="18.66015625" style="348" customWidth="1"/>
    <col min="6" max="6" width="10.66015625" style="348" customWidth="1"/>
    <col min="7" max="19" width="12" style="348" customWidth="1"/>
    <col min="20" max="20" width="13.16015625" style="348" customWidth="1"/>
    <col min="21" max="21" width="1.66015625" style="348" customWidth="1"/>
    <col min="22" max="22" width="2.66015625" style="348" customWidth="1"/>
    <col min="23" max="16384" width="8.66015625" style="348" customWidth="1"/>
  </cols>
  <sheetData>
    <row r="1" spans="1:21" ht="21" customHeight="1">
      <c r="A1" s="343"/>
      <c r="B1" s="349" t="s">
        <v>0</v>
      </c>
      <c r="C1" s="350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</row>
    <row r="2" spans="1:21" ht="21" customHeight="1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</row>
    <row r="3" spans="1:21" ht="21" customHeight="1" thickBot="1">
      <c r="A3" s="343"/>
      <c r="B3" s="351" t="s">
        <v>223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2" t="s">
        <v>135</v>
      </c>
      <c r="U3" s="343"/>
    </row>
    <row r="4" spans="1:21" ht="21" customHeight="1">
      <c r="A4" s="343"/>
      <c r="B4" s="353"/>
      <c r="C4" s="354"/>
      <c r="D4" s="354"/>
      <c r="E4" s="354"/>
      <c r="F4" s="354"/>
      <c r="G4" s="289"/>
      <c r="H4" s="77"/>
      <c r="I4" s="77"/>
      <c r="J4" s="35"/>
      <c r="K4" s="77"/>
      <c r="L4" s="77"/>
      <c r="M4" s="77"/>
      <c r="N4" s="77"/>
      <c r="O4" s="77"/>
      <c r="P4" s="77"/>
      <c r="Q4" s="77"/>
      <c r="R4" s="77"/>
      <c r="S4" s="77"/>
      <c r="T4" s="300"/>
      <c r="U4" s="355"/>
    </row>
    <row r="5" spans="1:21" ht="21" customHeight="1">
      <c r="A5" s="343"/>
      <c r="B5" s="353"/>
      <c r="C5" s="354"/>
      <c r="D5" s="354"/>
      <c r="E5" s="354" t="s">
        <v>195</v>
      </c>
      <c r="F5" s="354"/>
      <c r="G5" s="291" t="s">
        <v>3</v>
      </c>
      <c r="H5" s="292" t="s">
        <v>4</v>
      </c>
      <c r="I5" s="292" t="s">
        <v>5</v>
      </c>
      <c r="J5" s="37" t="s">
        <v>6</v>
      </c>
      <c r="K5" s="292" t="s">
        <v>7</v>
      </c>
      <c r="L5" s="292" t="s">
        <v>8</v>
      </c>
      <c r="M5" s="292" t="s">
        <v>9</v>
      </c>
      <c r="N5" s="292" t="s">
        <v>238</v>
      </c>
      <c r="O5" s="292" t="s">
        <v>239</v>
      </c>
      <c r="P5" s="292" t="s">
        <v>240</v>
      </c>
      <c r="Q5" s="292" t="s">
        <v>10</v>
      </c>
      <c r="R5" s="292" t="s">
        <v>241</v>
      </c>
      <c r="S5" s="292" t="s">
        <v>11</v>
      </c>
      <c r="T5" s="300"/>
      <c r="U5" s="355"/>
    </row>
    <row r="6" spans="1:21" ht="21" customHeight="1">
      <c r="A6" s="343"/>
      <c r="B6" s="353"/>
      <c r="C6" s="354"/>
      <c r="D6" s="354"/>
      <c r="E6" s="354"/>
      <c r="F6" s="354"/>
      <c r="G6" s="289"/>
      <c r="H6" s="77"/>
      <c r="I6" s="77"/>
      <c r="J6" s="502" t="s">
        <v>504</v>
      </c>
      <c r="K6" s="77"/>
      <c r="L6" s="77"/>
      <c r="M6" s="77"/>
      <c r="N6" s="77"/>
      <c r="O6" s="77"/>
      <c r="P6" s="77"/>
      <c r="Q6" s="77"/>
      <c r="R6" s="77"/>
      <c r="S6" s="77"/>
      <c r="T6" s="301" t="s">
        <v>12</v>
      </c>
      <c r="U6" s="355"/>
    </row>
    <row r="7" spans="1:21" ht="21" customHeight="1">
      <c r="A7" s="343"/>
      <c r="B7" s="353"/>
      <c r="C7" s="354"/>
      <c r="D7" s="354" t="s">
        <v>58</v>
      </c>
      <c r="E7" s="354"/>
      <c r="F7" s="354"/>
      <c r="G7" s="289" t="s">
        <v>355</v>
      </c>
      <c r="H7" s="77" t="s">
        <v>355</v>
      </c>
      <c r="I7" s="77"/>
      <c r="J7" s="502"/>
      <c r="K7" s="77"/>
      <c r="L7" s="77"/>
      <c r="M7" s="77" t="s">
        <v>355</v>
      </c>
      <c r="N7" s="77" t="s">
        <v>356</v>
      </c>
      <c r="O7" s="77" t="s">
        <v>357</v>
      </c>
      <c r="P7" s="77" t="s">
        <v>14</v>
      </c>
      <c r="Q7" s="77" t="s">
        <v>14</v>
      </c>
      <c r="R7" s="77" t="s">
        <v>358</v>
      </c>
      <c r="S7" s="77"/>
      <c r="T7" s="302"/>
      <c r="U7" s="355"/>
    </row>
    <row r="8" spans="1:21" ht="21" customHeight="1" thickBot="1">
      <c r="A8" s="343"/>
      <c r="B8" s="356"/>
      <c r="C8" s="357"/>
      <c r="D8" s="357"/>
      <c r="E8" s="357"/>
      <c r="F8" s="358"/>
      <c r="G8" s="118" t="s">
        <v>359</v>
      </c>
      <c r="H8" s="81" t="s">
        <v>360</v>
      </c>
      <c r="I8" s="81" t="s">
        <v>15</v>
      </c>
      <c r="J8" s="433" t="s">
        <v>491</v>
      </c>
      <c r="K8" s="81" t="s">
        <v>319</v>
      </c>
      <c r="L8" s="81" t="s">
        <v>388</v>
      </c>
      <c r="M8" s="81" t="s">
        <v>17</v>
      </c>
      <c r="N8" s="81" t="s">
        <v>318</v>
      </c>
      <c r="O8" s="81" t="s">
        <v>337</v>
      </c>
      <c r="P8" s="81" t="s">
        <v>59</v>
      </c>
      <c r="Q8" s="81" t="s">
        <v>60</v>
      </c>
      <c r="R8" s="81" t="s">
        <v>244</v>
      </c>
      <c r="S8" s="81" t="s">
        <v>18</v>
      </c>
      <c r="T8" s="303"/>
      <c r="U8" s="355"/>
    </row>
    <row r="9" spans="2:21" s="305" customFormat="1" ht="21" customHeight="1">
      <c r="B9" s="359"/>
      <c r="C9" s="360"/>
      <c r="D9" s="360"/>
      <c r="E9" s="361" t="s">
        <v>235</v>
      </c>
      <c r="F9" s="362" t="s">
        <v>208</v>
      </c>
      <c r="G9" s="363">
        <v>710</v>
      </c>
      <c r="H9" s="364">
        <v>0</v>
      </c>
      <c r="I9" s="364">
        <v>0</v>
      </c>
      <c r="J9" s="449">
        <v>0</v>
      </c>
      <c r="K9" s="364">
        <v>102968</v>
      </c>
      <c r="L9" s="364">
        <v>0</v>
      </c>
      <c r="M9" s="364">
        <v>0</v>
      </c>
      <c r="N9" s="364">
        <v>0</v>
      </c>
      <c r="O9" s="364">
        <v>0</v>
      </c>
      <c r="P9" s="364">
        <v>0</v>
      </c>
      <c r="Q9" s="364">
        <v>0</v>
      </c>
      <c r="R9" s="364">
        <v>0</v>
      </c>
      <c r="S9" s="364">
        <v>0</v>
      </c>
      <c r="T9" s="365">
        <f>SUM(G9:S9)</f>
        <v>103678</v>
      </c>
      <c r="U9" s="308"/>
    </row>
    <row r="10" spans="2:21" s="305" customFormat="1" ht="21" customHeight="1">
      <c r="B10" s="308"/>
      <c r="C10" s="366"/>
      <c r="D10" s="366"/>
      <c r="E10" s="320"/>
      <c r="F10" s="321" t="s">
        <v>209</v>
      </c>
      <c r="G10" s="334">
        <v>710</v>
      </c>
      <c r="H10" s="324">
        <v>0</v>
      </c>
      <c r="I10" s="324">
        <v>0</v>
      </c>
      <c r="J10" s="445">
        <v>0</v>
      </c>
      <c r="K10" s="324">
        <v>103785</v>
      </c>
      <c r="L10" s="324">
        <v>0</v>
      </c>
      <c r="M10" s="324">
        <v>0</v>
      </c>
      <c r="N10" s="324">
        <v>0</v>
      </c>
      <c r="O10" s="324">
        <v>0</v>
      </c>
      <c r="P10" s="324">
        <v>0</v>
      </c>
      <c r="Q10" s="324">
        <v>0</v>
      </c>
      <c r="R10" s="324">
        <v>0</v>
      </c>
      <c r="S10" s="324">
        <v>0</v>
      </c>
      <c r="T10" s="367">
        <f>SUM(G10:S10)</f>
        <v>104495</v>
      </c>
      <c r="U10" s="308"/>
    </row>
    <row r="11" spans="1:21" ht="21" customHeight="1">
      <c r="A11" s="343"/>
      <c r="B11" s="368"/>
      <c r="C11" s="369"/>
      <c r="D11" s="370"/>
      <c r="E11" s="370" t="s">
        <v>224</v>
      </c>
      <c r="F11" s="371" t="s">
        <v>208</v>
      </c>
      <c r="G11" s="372">
        <v>0</v>
      </c>
      <c r="H11" s="373">
        <v>0</v>
      </c>
      <c r="I11" s="373">
        <v>0</v>
      </c>
      <c r="J11" s="450">
        <v>0</v>
      </c>
      <c r="K11" s="373">
        <v>0</v>
      </c>
      <c r="L11" s="373">
        <v>0</v>
      </c>
      <c r="M11" s="373">
        <v>0</v>
      </c>
      <c r="N11" s="373">
        <v>0</v>
      </c>
      <c r="O11" s="373">
        <v>0</v>
      </c>
      <c r="P11" s="373">
        <v>0</v>
      </c>
      <c r="Q11" s="373">
        <v>0</v>
      </c>
      <c r="R11" s="373">
        <v>1374</v>
      </c>
      <c r="S11" s="373">
        <v>0</v>
      </c>
      <c r="T11" s="374">
        <f aca="true" t="shared" si="0" ref="T11:T16">SUM(G11:S11)</f>
        <v>1374</v>
      </c>
      <c r="U11" s="347"/>
    </row>
    <row r="12" spans="1:21" ht="21" customHeight="1">
      <c r="A12" s="343"/>
      <c r="B12" s="368"/>
      <c r="C12" s="369"/>
      <c r="D12" s="370"/>
      <c r="E12" s="375"/>
      <c r="F12" s="376" t="s">
        <v>209</v>
      </c>
      <c r="G12" s="377">
        <v>0</v>
      </c>
      <c r="H12" s="378">
        <v>0</v>
      </c>
      <c r="I12" s="378">
        <v>0</v>
      </c>
      <c r="J12" s="451">
        <v>0</v>
      </c>
      <c r="K12" s="378">
        <v>0</v>
      </c>
      <c r="L12" s="378">
        <v>0</v>
      </c>
      <c r="M12" s="378">
        <v>0</v>
      </c>
      <c r="N12" s="378">
        <v>0</v>
      </c>
      <c r="O12" s="378">
        <v>0</v>
      </c>
      <c r="P12" s="378">
        <v>0</v>
      </c>
      <c r="Q12" s="378">
        <v>0</v>
      </c>
      <c r="R12" s="378">
        <v>1374</v>
      </c>
      <c r="S12" s="378">
        <v>0</v>
      </c>
      <c r="T12" s="379">
        <f t="shared" si="0"/>
        <v>1374</v>
      </c>
      <c r="U12" s="347"/>
    </row>
    <row r="13" spans="1:21" ht="21" customHeight="1">
      <c r="A13" s="343"/>
      <c r="B13" s="368"/>
      <c r="C13" s="369"/>
      <c r="D13" s="370"/>
      <c r="E13" s="370" t="s">
        <v>225</v>
      </c>
      <c r="F13" s="371" t="s">
        <v>208</v>
      </c>
      <c r="G13" s="372">
        <v>0</v>
      </c>
      <c r="H13" s="373">
        <v>27919</v>
      </c>
      <c r="I13" s="373">
        <v>0</v>
      </c>
      <c r="J13" s="450">
        <v>0</v>
      </c>
      <c r="K13" s="373">
        <v>94513</v>
      </c>
      <c r="L13" s="373">
        <v>69339</v>
      </c>
      <c r="M13" s="373">
        <v>26585</v>
      </c>
      <c r="N13" s="373">
        <v>0</v>
      </c>
      <c r="O13" s="373">
        <v>27026</v>
      </c>
      <c r="P13" s="373">
        <v>0</v>
      </c>
      <c r="Q13" s="373">
        <v>785</v>
      </c>
      <c r="R13" s="373">
        <v>11679</v>
      </c>
      <c r="S13" s="373">
        <v>0</v>
      </c>
      <c r="T13" s="374">
        <f t="shared" si="0"/>
        <v>257846</v>
      </c>
      <c r="U13" s="347"/>
    </row>
    <row r="14" spans="1:21" ht="21" customHeight="1">
      <c r="A14" s="343"/>
      <c r="B14" s="368"/>
      <c r="C14" s="369"/>
      <c r="D14" s="370"/>
      <c r="E14" s="375"/>
      <c r="F14" s="376" t="s">
        <v>209</v>
      </c>
      <c r="G14" s="377">
        <v>0</v>
      </c>
      <c r="H14" s="378">
        <v>27919</v>
      </c>
      <c r="I14" s="378">
        <v>0</v>
      </c>
      <c r="J14" s="451">
        <v>0</v>
      </c>
      <c r="K14" s="378">
        <v>94513</v>
      </c>
      <c r="L14" s="378">
        <v>9784</v>
      </c>
      <c r="M14" s="378">
        <v>26585</v>
      </c>
      <c r="N14" s="378">
        <v>0</v>
      </c>
      <c r="O14" s="378">
        <v>27026</v>
      </c>
      <c r="P14" s="378">
        <v>0</v>
      </c>
      <c r="Q14" s="378">
        <v>785</v>
      </c>
      <c r="R14" s="378">
        <v>11679</v>
      </c>
      <c r="S14" s="378">
        <v>0</v>
      </c>
      <c r="T14" s="379">
        <f t="shared" si="0"/>
        <v>198291</v>
      </c>
      <c r="U14" s="347"/>
    </row>
    <row r="15" spans="1:21" ht="21" customHeight="1">
      <c r="A15" s="343"/>
      <c r="B15" s="368"/>
      <c r="C15" s="369"/>
      <c r="D15" s="370"/>
      <c r="E15" s="380" t="s">
        <v>237</v>
      </c>
      <c r="F15" s="371" t="s">
        <v>208</v>
      </c>
      <c r="G15" s="372">
        <v>0</v>
      </c>
      <c r="H15" s="373">
        <v>0</v>
      </c>
      <c r="I15" s="373">
        <v>0</v>
      </c>
      <c r="J15" s="450">
        <v>0</v>
      </c>
      <c r="K15" s="373">
        <v>50532</v>
      </c>
      <c r="L15" s="373"/>
      <c r="M15" s="373">
        <v>0</v>
      </c>
      <c r="N15" s="373">
        <v>0</v>
      </c>
      <c r="O15" s="373">
        <v>0</v>
      </c>
      <c r="P15" s="373">
        <v>0</v>
      </c>
      <c r="Q15" s="373">
        <v>0</v>
      </c>
      <c r="R15" s="373">
        <v>0</v>
      </c>
      <c r="S15" s="373">
        <v>0</v>
      </c>
      <c r="T15" s="374">
        <f t="shared" si="0"/>
        <v>50532</v>
      </c>
      <c r="U15" s="347"/>
    </row>
    <row r="16" spans="1:21" ht="21" customHeight="1">
      <c r="A16" s="343"/>
      <c r="B16" s="368"/>
      <c r="C16" s="369"/>
      <c r="D16" s="370"/>
      <c r="E16" s="375"/>
      <c r="F16" s="376" t="s">
        <v>209</v>
      </c>
      <c r="G16" s="377">
        <v>0</v>
      </c>
      <c r="H16" s="378">
        <v>0</v>
      </c>
      <c r="I16" s="378">
        <v>0</v>
      </c>
      <c r="J16" s="451">
        <v>0</v>
      </c>
      <c r="K16" s="378">
        <v>50532</v>
      </c>
      <c r="L16" s="378">
        <v>0</v>
      </c>
      <c r="M16" s="378">
        <v>0</v>
      </c>
      <c r="N16" s="378">
        <v>0</v>
      </c>
      <c r="O16" s="378">
        <v>0</v>
      </c>
      <c r="P16" s="378">
        <v>0</v>
      </c>
      <c r="Q16" s="378">
        <v>0</v>
      </c>
      <c r="R16" s="378">
        <v>0</v>
      </c>
      <c r="S16" s="378">
        <v>0</v>
      </c>
      <c r="T16" s="379">
        <f t="shared" si="0"/>
        <v>50532</v>
      </c>
      <c r="U16" s="347"/>
    </row>
    <row r="17" spans="1:21" ht="21" customHeight="1">
      <c r="A17" s="343"/>
      <c r="B17" s="381"/>
      <c r="C17" s="375"/>
      <c r="D17" s="375"/>
      <c r="E17" s="375" t="s">
        <v>192</v>
      </c>
      <c r="F17" s="376" t="s">
        <v>209</v>
      </c>
      <c r="G17" s="377">
        <v>0</v>
      </c>
      <c r="H17" s="378">
        <v>466093</v>
      </c>
      <c r="I17" s="378">
        <v>2000</v>
      </c>
      <c r="J17" s="451">
        <v>0</v>
      </c>
      <c r="K17" s="378">
        <v>38823</v>
      </c>
      <c r="L17" s="378">
        <v>0</v>
      </c>
      <c r="M17" s="378">
        <v>0</v>
      </c>
      <c r="N17" s="378">
        <v>52597</v>
      </c>
      <c r="O17" s="378">
        <v>626900</v>
      </c>
      <c r="P17" s="378">
        <v>0</v>
      </c>
      <c r="Q17" s="378">
        <v>0</v>
      </c>
      <c r="R17" s="378">
        <v>0</v>
      </c>
      <c r="S17" s="378">
        <v>0</v>
      </c>
      <c r="T17" s="379">
        <f aca="true" t="shared" si="1" ref="T17:T50">SUM(G17:S17)</f>
        <v>1186413</v>
      </c>
      <c r="U17" s="347"/>
    </row>
    <row r="18" spans="1:21" ht="21" customHeight="1">
      <c r="A18" s="343"/>
      <c r="B18" s="368"/>
      <c r="C18" s="382" t="s">
        <v>226</v>
      </c>
      <c r="D18" s="370"/>
      <c r="E18" s="370"/>
      <c r="F18" s="370"/>
      <c r="G18" s="383"/>
      <c r="H18" s="384"/>
      <c r="I18" s="384"/>
      <c r="J18" s="452" t="s">
        <v>506</v>
      </c>
      <c r="K18" s="384"/>
      <c r="L18" s="384"/>
      <c r="M18" s="384"/>
      <c r="N18" s="384"/>
      <c r="O18" s="384"/>
      <c r="P18" s="384"/>
      <c r="Q18" s="384"/>
      <c r="R18" s="384"/>
      <c r="S18" s="384"/>
      <c r="T18" s="385">
        <f t="shared" si="1"/>
        <v>0</v>
      </c>
      <c r="U18" s="347"/>
    </row>
    <row r="19" spans="1:21" ht="21" customHeight="1">
      <c r="A19" s="343"/>
      <c r="B19" s="368"/>
      <c r="C19" s="369"/>
      <c r="D19" s="370" t="s">
        <v>227</v>
      </c>
      <c r="E19" s="370"/>
      <c r="F19" s="371" t="s">
        <v>208</v>
      </c>
      <c r="G19" s="372">
        <f>G21</f>
        <v>0</v>
      </c>
      <c r="H19" s="374">
        <f aca="true" t="shared" si="2" ref="H19:R19">H21</f>
        <v>0</v>
      </c>
      <c r="I19" s="374">
        <f t="shared" si="2"/>
        <v>0</v>
      </c>
      <c r="J19" s="453" t="s">
        <v>506</v>
      </c>
      <c r="K19" s="374">
        <f t="shared" si="2"/>
        <v>96302</v>
      </c>
      <c r="L19" s="374">
        <f t="shared" si="2"/>
        <v>0</v>
      </c>
      <c r="M19" s="374">
        <f t="shared" si="2"/>
        <v>0</v>
      </c>
      <c r="N19" s="374">
        <f t="shared" si="2"/>
        <v>0</v>
      </c>
      <c r="O19" s="374">
        <f t="shared" si="2"/>
        <v>0</v>
      </c>
      <c r="P19" s="374">
        <f t="shared" si="2"/>
        <v>0</v>
      </c>
      <c r="Q19" s="374">
        <f t="shared" si="2"/>
        <v>0</v>
      </c>
      <c r="R19" s="374">
        <f t="shared" si="2"/>
        <v>0</v>
      </c>
      <c r="S19" s="374">
        <f>S21</f>
        <v>0</v>
      </c>
      <c r="T19" s="374">
        <f t="shared" si="1"/>
        <v>96302</v>
      </c>
      <c r="U19" s="347"/>
    </row>
    <row r="20" spans="1:21" ht="21" customHeight="1">
      <c r="A20" s="343"/>
      <c r="B20" s="368"/>
      <c r="C20" s="369"/>
      <c r="D20" s="370"/>
      <c r="E20" s="375"/>
      <c r="F20" s="376" t="s">
        <v>209</v>
      </c>
      <c r="G20" s="377">
        <f>G22+G23</f>
        <v>0</v>
      </c>
      <c r="H20" s="379">
        <f aca="true" t="shared" si="3" ref="H20:R20">H22+H23</f>
        <v>0</v>
      </c>
      <c r="I20" s="379">
        <f t="shared" si="3"/>
        <v>0</v>
      </c>
      <c r="J20" s="454" t="s">
        <v>506</v>
      </c>
      <c r="K20" s="379">
        <f t="shared" si="3"/>
        <v>96302</v>
      </c>
      <c r="L20" s="379">
        <f t="shared" si="3"/>
        <v>0</v>
      </c>
      <c r="M20" s="379">
        <f t="shared" si="3"/>
        <v>0</v>
      </c>
      <c r="N20" s="379">
        <f t="shared" si="3"/>
        <v>0</v>
      </c>
      <c r="O20" s="379">
        <f t="shared" si="3"/>
        <v>0</v>
      </c>
      <c r="P20" s="379">
        <f t="shared" si="3"/>
        <v>0</v>
      </c>
      <c r="Q20" s="379">
        <f t="shared" si="3"/>
        <v>0</v>
      </c>
      <c r="R20" s="379">
        <f t="shared" si="3"/>
        <v>0</v>
      </c>
      <c r="S20" s="379">
        <f>S22+S23</f>
        <v>0</v>
      </c>
      <c r="T20" s="379">
        <f t="shared" si="1"/>
        <v>96302</v>
      </c>
      <c r="U20" s="347"/>
    </row>
    <row r="21" spans="1:21" ht="21" customHeight="1">
      <c r="A21" s="343"/>
      <c r="B21" s="368"/>
      <c r="C21" s="369"/>
      <c r="D21" s="370"/>
      <c r="E21" s="380" t="s">
        <v>500</v>
      </c>
      <c r="F21" s="371" t="s">
        <v>208</v>
      </c>
      <c r="G21" s="372">
        <v>0</v>
      </c>
      <c r="H21" s="374">
        <v>0</v>
      </c>
      <c r="I21" s="374">
        <v>0</v>
      </c>
      <c r="J21" s="453">
        <v>0</v>
      </c>
      <c r="K21" s="374">
        <v>96302</v>
      </c>
      <c r="L21" s="374">
        <v>0</v>
      </c>
      <c r="M21" s="374">
        <v>0</v>
      </c>
      <c r="N21" s="374">
        <v>0</v>
      </c>
      <c r="O21" s="374">
        <v>0</v>
      </c>
      <c r="P21" s="374">
        <v>0</v>
      </c>
      <c r="Q21" s="374">
        <v>0</v>
      </c>
      <c r="R21" s="374">
        <v>0</v>
      </c>
      <c r="S21" s="374">
        <v>0</v>
      </c>
      <c r="T21" s="374">
        <f>SUM(G21:S21)</f>
        <v>96302</v>
      </c>
      <c r="U21" s="347"/>
    </row>
    <row r="22" spans="1:21" ht="21" customHeight="1">
      <c r="A22" s="343"/>
      <c r="B22" s="368"/>
      <c r="C22" s="369"/>
      <c r="D22" s="370"/>
      <c r="E22" s="386" t="s">
        <v>502</v>
      </c>
      <c r="F22" s="376" t="s">
        <v>209</v>
      </c>
      <c r="G22" s="377">
        <v>0</v>
      </c>
      <c r="H22" s="379">
        <v>0</v>
      </c>
      <c r="I22" s="379">
        <v>0</v>
      </c>
      <c r="J22" s="454">
        <v>0</v>
      </c>
      <c r="K22" s="379">
        <v>96302</v>
      </c>
      <c r="L22" s="379">
        <v>0</v>
      </c>
      <c r="M22" s="379">
        <v>0</v>
      </c>
      <c r="N22" s="379">
        <v>0</v>
      </c>
      <c r="O22" s="379">
        <v>0</v>
      </c>
      <c r="P22" s="379">
        <v>0</v>
      </c>
      <c r="Q22" s="379">
        <v>0</v>
      </c>
      <c r="R22" s="379">
        <v>0</v>
      </c>
      <c r="S22" s="379">
        <v>0</v>
      </c>
      <c r="T22" s="379">
        <f t="shared" si="1"/>
        <v>96302</v>
      </c>
      <c r="U22" s="347"/>
    </row>
    <row r="23" spans="1:21" ht="21" customHeight="1">
      <c r="A23" s="343"/>
      <c r="B23" s="381"/>
      <c r="C23" s="375"/>
      <c r="D23" s="375"/>
      <c r="E23" s="375" t="s">
        <v>192</v>
      </c>
      <c r="F23" s="376" t="s">
        <v>209</v>
      </c>
      <c r="G23" s="377">
        <v>0</v>
      </c>
      <c r="H23" s="379">
        <v>0</v>
      </c>
      <c r="I23" s="379">
        <v>0</v>
      </c>
      <c r="J23" s="454">
        <v>0</v>
      </c>
      <c r="K23" s="379">
        <v>0</v>
      </c>
      <c r="L23" s="379">
        <v>0</v>
      </c>
      <c r="M23" s="379">
        <v>0</v>
      </c>
      <c r="N23" s="379">
        <v>0</v>
      </c>
      <c r="O23" s="379">
        <v>0</v>
      </c>
      <c r="P23" s="379">
        <v>0</v>
      </c>
      <c r="Q23" s="379">
        <v>0</v>
      </c>
      <c r="R23" s="379">
        <v>0</v>
      </c>
      <c r="S23" s="379">
        <v>0</v>
      </c>
      <c r="T23" s="379">
        <f t="shared" si="1"/>
        <v>0</v>
      </c>
      <c r="U23" s="347"/>
    </row>
    <row r="24" spans="1:21" ht="21" customHeight="1">
      <c r="A24" s="343"/>
      <c r="B24" s="368" t="s">
        <v>228</v>
      </c>
      <c r="C24" s="369"/>
      <c r="D24" s="370"/>
      <c r="E24" s="370"/>
      <c r="F24" s="370"/>
      <c r="G24" s="383"/>
      <c r="H24" s="384"/>
      <c r="I24" s="384"/>
      <c r="J24" s="452" t="s">
        <v>506</v>
      </c>
      <c r="K24" s="384"/>
      <c r="L24" s="384"/>
      <c r="M24" s="384"/>
      <c r="N24" s="384"/>
      <c r="O24" s="384"/>
      <c r="P24" s="384"/>
      <c r="Q24" s="384"/>
      <c r="R24" s="384"/>
      <c r="S24" s="384"/>
      <c r="T24" s="385">
        <f t="shared" si="1"/>
        <v>0</v>
      </c>
      <c r="U24" s="347"/>
    </row>
    <row r="25" spans="1:21" ht="21" customHeight="1">
      <c r="A25" s="343"/>
      <c r="B25" s="368"/>
      <c r="C25" s="369"/>
      <c r="D25" s="370" t="s">
        <v>229</v>
      </c>
      <c r="E25" s="370"/>
      <c r="F25" s="371" t="s">
        <v>208</v>
      </c>
      <c r="G25" s="372">
        <f>G27+G29+G31</f>
        <v>566786</v>
      </c>
      <c r="H25" s="374">
        <f aca="true" t="shared" si="4" ref="H25:S25">H27+H29+H31</f>
        <v>0</v>
      </c>
      <c r="I25" s="374">
        <f t="shared" si="4"/>
        <v>383330</v>
      </c>
      <c r="J25" s="453" t="s">
        <v>506</v>
      </c>
      <c r="K25" s="374">
        <f t="shared" si="4"/>
        <v>307434</v>
      </c>
      <c r="L25" s="374">
        <f t="shared" si="4"/>
        <v>0</v>
      </c>
      <c r="M25" s="374">
        <f t="shared" si="4"/>
        <v>173095</v>
      </c>
      <c r="N25" s="374">
        <f t="shared" si="4"/>
        <v>0</v>
      </c>
      <c r="O25" s="374">
        <f t="shared" si="4"/>
        <v>0</v>
      </c>
      <c r="P25" s="374">
        <f t="shared" si="4"/>
        <v>0</v>
      </c>
      <c r="Q25" s="374">
        <f t="shared" si="4"/>
        <v>0</v>
      </c>
      <c r="R25" s="374">
        <f t="shared" si="4"/>
        <v>0</v>
      </c>
      <c r="S25" s="374">
        <f t="shared" si="4"/>
        <v>0</v>
      </c>
      <c r="T25" s="374">
        <f t="shared" si="1"/>
        <v>1430645</v>
      </c>
      <c r="U25" s="347"/>
    </row>
    <row r="26" spans="1:21" ht="21" customHeight="1">
      <c r="A26" s="343"/>
      <c r="B26" s="368"/>
      <c r="C26" s="369"/>
      <c r="D26" s="370"/>
      <c r="E26" s="375"/>
      <c r="F26" s="376" t="s">
        <v>209</v>
      </c>
      <c r="G26" s="377">
        <f>G28+G30+G32+G33</f>
        <v>566786</v>
      </c>
      <c r="H26" s="379">
        <f aca="true" t="shared" si="5" ref="H26:S26">H28+H30+H32+H33</f>
        <v>0</v>
      </c>
      <c r="I26" s="379">
        <f t="shared" si="5"/>
        <v>383330</v>
      </c>
      <c r="J26" s="454" t="s">
        <v>506</v>
      </c>
      <c r="K26" s="379">
        <f t="shared" si="5"/>
        <v>307434</v>
      </c>
      <c r="L26" s="379">
        <f t="shared" si="5"/>
        <v>0</v>
      </c>
      <c r="M26" s="379">
        <f t="shared" si="5"/>
        <v>32965</v>
      </c>
      <c r="N26" s="379">
        <f t="shared" si="5"/>
        <v>0</v>
      </c>
      <c r="O26" s="379">
        <f t="shared" si="5"/>
        <v>0</v>
      </c>
      <c r="P26" s="379">
        <f t="shared" si="5"/>
        <v>0</v>
      </c>
      <c r="Q26" s="379">
        <f t="shared" si="5"/>
        <v>0</v>
      </c>
      <c r="R26" s="379">
        <f t="shared" si="5"/>
        <v>0</v>
      </c>
      <c r="S26" s="379">
        <f t="shared" si="5"/>
        <v>0</v>
      </c>
      <c r="T26" s="379">
        <f t="shared" si="1"/>
        <v>1290515</v>
      </c>
      <c r="U26" s="347"/>
    </row>
    <row r="27" spans="1:21" ht="21" customHeight="1">
      <c r="A27" s="343"/>
      <c r="B27" s="368"/>
      <c r="C27" s="369"/>
      <c r="D27" s="370"/>
      <c r="E27" s="370" t="s">
        <v>218</v>
      </c>
      <c r="F27" s="371" t="s">
        <v>208</v>
      </c>
      <c r="G27" s="372">
        <v>364544</v>
      </c>
      <c r="H27" s="374"/>
      <c r="I27" s="374">
        <v>383330</v>
      </c>
      <c r="J27" s="453">
        <v>0</v>
      </c>
      <c r="K27" s="374">
        <v>307434</v>
      </c>
      <c r="L27" s="374"/>
      <c r="M27" s="374">
        <v>32965</v>
      </c>
      <c r="N27" s="374">
        <v>0</v>
      </c>
      <c r="O27" s="374">
        <v>0</v>
      </c>
      <c r="P27" s="374">
        <v>0</v>
      </c>
      <c r="Q27" s="374">
        <v>0</v>
      </c>
      <c r="R27" s="374">
        <v>0</v>
      </c>
      <c r="S27" s="374">
        <v>0</v>
      </c>
      <c r="T27" s="374">
        <f t="shared" si="1"/>
        <v>1088273</v>
      </c>
      <c r="U27" s="347"/>
    </row>
    <row r="28" spans="1:21" ht="21" customHeight="1">
      <c r="A28" s="343"/>
      <c r="B28" s="368"/>
      <c r="C28" s="369"/>
      <c r="D28" s="370"/>
      <c r="E28" s="386" t="s">
        <v>483</v>
      </c>
      <c r="F28" s="376" t="s">
        <v>209</v>
      </c>
      <c r="G28" s="377">
        <v>364544</v>
      </c>
      <c r="H28" s="379"/>
      <c r="I28" s="379">
        <v>383330</v>
      </c>
      <c r="J28" s="454">
        <v>0</v>
      </c>
      <c r="K28" s="379">
        <v>307434</v>
      </c>
      <c r="L28" s="379"/>
      <c r="M28" s="379">
        <v>32965</v>
      </c>
      <c r="N28" s="379">
        <v>0</v>
      </c>
      <c r="O28" s="379">
        <v>0</v>
      </c>
      <c r="P28" s="379">
        <v>0</v>
      </c>
      <c r="Q28" s="379">
        <v>0</v>
      </c>
      <c r="R28" s="379">
        <v>0</v>
      </c>
      <c r="S28" s="379">
        <v>0</v>
      </c>
      <c r="T28" s="379">
        <f t="shared" si="1"/>
        <v>1088273</v>
      </c>
      <c r="U28" s="347"/>
    </row>
    <row r="29" spans="1:21" ht="21" customHeight="1">
      <c r="A29" s="343"/>
      <c r="B29" s="368"/>
      <c r="C29" s="369"/>
      <c r="D29" s="370"/>
      <c r="E29" s="370" t="s">
        <v>218</v>
      </c>
      <c r="F29" s="371" t="s">
        <v>208</v>
      </c>
      <c r="G29" s="372">
        <v>202242</v>
      </c>
      <c r="H29" s="374"/>
      <c r="I29" s="374">
        <v>0</v>
      </c>
      <c r="J29" s="453">
        <v>0</v>
      </c>
      <c r="K29" s="374">
        <v>0</v>
      </c>
      <c r="L29" s="374">
        <v>0</v>
      </c>
      <c r="M29" s="374">
        <v>140130</v>
      </c>
      <c r="N29" s="374"/>
      <c r="O29" s="374">
        <v>0</v>
      </c>
      <c r="P29" s="374">
        <v>0</v>
      </c>
      <c r="Q29" s="374">
        <v>0</v>
      </c>
      <c r="R29" s="374">
        <v>0</v>
      </c>
      <c r="S29" s="374">
        <v>0</v>
      </c>
      <c r="T29" s="374">
        <f t="shared" si="1"/>
        <v>342372</v>
      </c>
      <c r="U29" s="347"/>
    </row>
    <row r="30" spans="1:21" ht="21" customHeight="1">
      <c r="A30" s="343"/>
      <c r="B30" s="368"/>
      <c r="C30" s="369"/>
      <c r="D30" s="370"/>
      <c r="E30" s="387" t="s">
        <v>230</v>
      </c>
      <c r="F30" s="376" t="s">
        <v>209</v>
      </c>
      <c r="G30" s="377">
        <v>202242</v>
      </c>
      <c r="H30" s="379"/>
      <c r="I30" s="379">
        <v>0</v>
      </c>
      <c r="J30" s="454">
        <v>0</v>
      </c>
      <c r="K30" s="379">
        <v>0</v>
      </c>
      <c r="L30" s="379">
        <v>0</v>
      </c>
      <c r="M30" s="379">
        <v>0</v>
      </c>
      <c r="N30" s="379"/>
      <c r="O30" s="379">
        <v>0</v>
      </c>
      <c r="P30" s="379">
        <v>0</v>
      </c>
      <c r="Q30" s="379">
        <v>0</v>
      </c>
      <c r="R30" s="379">
        <v>0</v>
      </c>
      <c r="S30" s="379">
        <v>0</v>
      </c>
      <c r="T30" s="379">
        <f t="shared" si="1"/>
        <v>202242</v>
      </c>
      <c r="U30" s="347"/>
    </row>
    <row r="31" spans="1:21" ht="21" customHeight="1">
      <c r="A31" s="343"/>
      <c r="B31" s="368"/>
      <c r="C31" s="369"/>
      <c r="D31" s="370"/>
      <c r="E31" s="388" t="s">
        <v>500</v>
      </c>
      <c r="F31" s="371" t="s">
        <v>208</v>
      </c>
      <c r="G31" s="372">
        <v>0</v>
      </c>
      <c r="H31" s="374">
        <v>0</v>
      </c>
      <c r="I31" s="374">
        <v>0</v>
      </c>
      <c r="J31" s="453">
        <v>0</v>
      </c>
      <c r="K31" s="374">
        <v>0</v>
      </c>
      <c r="L31" s="374">
        <v>0</v>
      </c>
      <c r="M31" s="374">
        <v>0</v>
      </c>
      <c r="N31" s="374">
        <v>0</v>
      </c>
      <c r="O31" s="374">
        <v>0</v>
      </c>
      <c r="P31" s="374">
        <v>0</v>
      </c>
      <c r="Q31" s="374">
        <v>0</v>
      </c>
      <c r="R31" s="374">
        <v>0</v>
      </c>
      <c r="S31" s="374">
        <v>0</v>
      </c>
      <c r="T31" s="374">
        <f>SUM(G31:S31)</f>
        <v>0</v>
      </c>
      <c r="U31" s="347"/>
    </row>
    <row r="32" spans="1:21" ht="21" customHeight="1">
      <c r="A32" s="343"/>
      <c r="B32" s="368"/>
      <c r="C32" s="369"/>
      <c r="D32" s="370"/>
      <c r="E32" s="386" t="s">
        <v>502</v>
      </c>
      <c r="F32" s="376" t="s">
        <v>209</v>
      </c>
      <c r="G32" s="377">
        <v>0</v>
      </c>
      <c r="H32" s="379">
        <v>0</v>
      </c>
      <c r="I32" s="379">
        <v>0</v>
      </c>
      <c r="J32" s="454">
        <v>0</v>
      </c>
      <c r="K32" s="379">
        <v>0</v>
      </c>
      <c r="L32" s="379">
        <v>0</v>
      </c>
      <c r="M32" s="379">
        <v>0</v>
      </c>
      <c r="N32" s="379">
        <v>0</v>
      </c>
      <c r="O32" s="379">
        <v>0</v>
      </c>
      <c r="P32" s="379">
        <v>0</v>
      </c>
      <c r="Q32" s="379">
        <v>0</v>
      </c>
      <c r="R32" s="379">
        <v>0</v>
      </c>
      <c r="S32" s="379">
        <v>0</v>
      </c>
      <c r="T32" s="379">
        <f>SUM(G32:S32)</f>
        <v>0</v>
      </c>
      <c r="U32" s="347"/>
    </row>
    <row r="33" spans="1:21" ht="21" customHeight="1">
      <c r="A33" s="343"/>
      <c r="B33" s="368"/>
      <c r="C33" s="369"/>
      <c r="D33" s="375"/>
      <c r="E33" s="375" t="s">
        <v>192</v>
      </c>
      <c r="F33" s="376" t="s">
        <v>209</v>
      </c>
      <c r="G33" s="377">
        <v>0</v>
      </c>
      <c r="H33" s="379">
        <v>0</v>
      </c>
      <c r="I33" s="379">
        <v>0</v>
      </c>
      <c r="J33" s="454">
        <v>0</v>
      </c>
      <c r="K33" s="379">
        <v>0</v>
      </c>
      <c r="L33" s="379">
        <v>0</v>
      </c>
      <c r="M33" s="379">
        <v>0</v>
      </c>
      <c r="N33" s="379">
        <v>0</v>
      </c>
      <c r="O33" s="379">
        <v>0</v>
      </c>
      <c r="P33" s="379">
        <v>0</v>
      </c>
      <c r="Q33" s="379">
        <v>0</v>
      </c>
      <c r="R33" s="379">
        <v>0</v>
      </c>
      <c r="S33" s="379">
        <v>0</v>
      </c>
      <c r="T33" s="379">
        <f t="shared" si="1"/>
        <v>0</v>
      </c>
      <c r="U33" s="347"/>
    </row>
    <row r="34" spans="1:21" ht="21" customHeight="1">
      <c r="A34" s="343"/>
      <c r="B34" s="368"/>
      <c r="C34" s="369"/>
      <c r="D34" s="370" t="s">
        <v>207</v>
      </c>
      <c r="E34" s="370"/>
      <c r="F34" s="371" t="s">
        <v>208</v>
      </c>
      <c r="G34" s="372">
        <f>G36+G38</f>
        <v>0</v>
      </c>
      <c r="H34" s="374">
        <f aca="true" t="shared" si="6" ref="H34:S34">H36+H38</f>
        <v>97917</v>
      </c>
      <c r="I34" s="374">
        <f t="shared" si="6"/>
        <v>12500</v>
      </c>
      <c r="J34" s="453" t="s">
        <v>506</v>
      </c>
      <c r="K34" s="374">
        <f t="shared" si="6"/>
        <v>32997</v>
      </c>
      <c r="L34" s="374">
        <f t="shared" si="6"/>
        <v>167258</v>
      </c>
      <c r="M34" s="374">
        <f t="shared" si="6"/>
        <v>0</v>
      </c>
      <c r="N34" s="374">
        <f t="shared" si="6"/>
        <v>40775</v>
      </c>
      <c r="O34" s="374">
        <f t="shared" si="6"/>
        <v>78758</v>
      </c>
      <c r="P34" s="374">
        <f t="shared" si="6"/>
        <v>13821</v>
      </c>
      <c r="Q34" s="374">
        <f t="shared" si="6"/>
        <v>22101</v>
      </c>
      <c r="R34" s="374">
        <f t="shared" si="6"/>
        <v>11961</v>
      </c>
      <c r="S34" s="374">
        <f t="shared" si="6"/>
        <v>100740</v>
      </c>
      <c r="T34" s="374">
        <f t="shared" si="1"/>
        <v>578828</v>
      </c>
      <c r="U34" s="347"/>
    </row>
    <row r="35" spans="1:21" ht="21" customHeight="1">
      <c r="A35" s="343"/>
      <c r="B35" s="368"/>
      <c r="C35" s="369"/>
      <c r="D35" s="370"/>
      <c r="E35" s="375"/>
      <c r="F35" s="376" t="s">
        <v>209</v>
      </c>
      <c r="G35" s="377">
        <f>G37+G39+G40</f>
        <v>0</v>
      </c>
      <c r="H35" s="379">
        <f aca="true" t="shared" si="7" ref="H35:S35">H37+H39+H40</f>
        <v>100000</v>
      </c>
      <c r="I35" s="379">
        <f t="shared" si="7"/>
        <v>12500</v>
      </c>
      <c r="J35" s="454" t="s">
        <v>506</v>
      </c>
      <c r="K35" s="379">
        <f t="shared" si="7"/>
        <v>42236</v>
      </c>
      <c r="L35" s="379">
        <f t="shared" si="7"/>
        <v>167258</v>
      </c>
      <c r="M35" s="379">
        <f t="shared" si="7"/>
        <v>0</v>
      </c>
      <c r="N35" s="379">
        <f t="shared" si="7"/>
        <v>69292</v>
      </c>
      <c r="O35" s="379">
        <f t="shared" si="7"/>
        <v>83473</v>
      </c>
      <c r="P35" s="379">
        <f t="shared" si="7"/>
        <v>25069</v>
      </c>
      <c r="Q35" s="379">
        <f t="shared" si="7"/>
        <v>22101</v>
      </c>
      <c r="R35" s="379">
        <f t="shared" si="7"/>
        <v>11961</v>
      </c>
      <c r="S35" s="379">
        <f t="shared" si="7"/>
        <v>95398</v>
      </c>
      <c r="T35" s="379">
        <f t="shared" si="1"/>
        <v>629288</v>
      </c>
      <c r="U35" s="347"/>
    </row>
    <row r="36" spans="1:21" ht="21" customHeight="1">
      <c r="A36" s="343"/>
      <c r="B36" s="368"/>
      <c r="C36" s="369"/>
      <c r="D36" s="370"/>
      <c r="E36" s="370" t="s">
        <v>218</v>
      </c>
      <c r="F36" s="371" t="s">
        <v>208</v>
      </c>
      <c r="G36" s="372">
        <v>0</v>
      </c>
      <c r="H36" s="374">
        <v>62009</v>
      </c>
      <c r="I36" s="374">
        <v>0</v>
      </c>
      <c r="J36" s="453">
        <v>0</v>
      </c>
      <c r="K36" s="374">
        <v>32650</v>
      </c>
      <c r="L36" s="374">
        <v>167258</v>
      </c>
      <c r="M36" s="374">
        <v>0</v>
      </c>
      <c r="N36" s="374">
        <v>39677</v>
      </c>
      <c r="O36" s="374">
        <v>78758</v>
      </c>
      <c r="P36" s="374">
        <v>13821</v>
      </c>
      <c r="Q36" s="374">
        <v>17034</v>
      </c>
      <c r="R36" s="374">
        <v>11961</v>
      </c>
      <c r="S36" s="374">
        <v>95398</v>
      </c>
      <c r="T36" s="374">
        <f t="shared" si="1"/>
        <v>518566</v>
      </c>
      <c r="U36" s="347"/>
    </row>
    <row r="37" spans="1:21" ht="21" customHeight="1">
      <c r="A37" s="343"/>
      <c r="B37" s="368"/>
      <c r="C37" s="369"/>
      <c r="D37" s="370"/>
      <c r="E37" s="386" t="s">
        <v>483</v>
      </c>
      <c r="F37" s="376" t="s">
        <v>209</v>
      </c>
      <c r="G37" s="377">
        <v>0</v>
      </c>
      <c r="H37" s="379">
        <v>62009</v>
      </c>
      <c r="I37" s="379">
        <v>0</v>
      </c>
      <c r="J37" s="454">
        <v>0</v>
      </c>
      <c r="K37" s="379">
        <v>41471</v>
      </c>
      <c r="L37" s="379">
        <v>167258</v>
      </c>
      <c r="M37" s="379">
        <v>0</v>
      </c>
      <c r="N37" s="379">
        <v>67094</v>
      </c>
      <c r="O37" s="379">
        <v>78758</v>
      </c>
      <c r="P37" s="379">
        <v>25069</v>
      </c>
      <c r="Q37" s="379">
        <v>17034</v>
      </c>
      <c r="R37" s="379">
        <v>11961</v>
      </c>
      <c r="S37" s="379">
        <v>95398</v>
      </c>
      <c r="T37" s="379">
        <f t="shared" si="1"/>
        <v>566052</v>
      </c>
      <c r="U37" s="347"/>
    </row>
    <row r="38" spans="1:21" ht="21" customHeight="1">
      <c r="A38" s="343"/>
      <c r="B38" s="368"/>
      <c r="C38" s="369"/>
      <c r="D38" s="370"/>
      <c r="E38" s="370" t="s">
        <v>218</v>
      </c>
      <c r="F38" s="371" t="s">
        <v>208</v>
      </c>
      <c r="G38" s="372">
        <v>0</v>
      </c>
      <c r="H38" s="374">
        <v>35908</v>
      </c>
      <c r="I38" s="374">
        <v>12500</v>
      </c>
      <c r="J38" s="453">
        <v>0</v>
      </c>
      <c r="K38" s="374">
        <v>347</v>
      </c>
      <c r="L38" s="374">
        <v>0</v>
      </c>
      <c r="M38" s="374">
        <v>0</v>
      </c>
      <c r="N38" s="374">
        <v>1098</v>
      </c>
      <c r="O38" s="374">
        <v>0</v>
      </c>
      <c r="P38" s="374">
        <v>0</v>
      </c>
      <c r="Q38" s="374">
        <v>5067</v>
      </c>
      <c r="R38" s="374"/>
      <c r="S38" s="374">
        <v>5342</v>
      </c>
      <c r="T38" s="374">
        <f t="shared" si="1"/>
        <v>60262</v>
      </c>
      <c r="U38" s="347"/>
    </row>
    <row r="39" spans="1:21" ht="21" customHeight="1">
      <c r="A39" s="343"/>
      <c r="B39" s="368"/>
      <c r="C39" s="369"/>
      <c r="D39" s="370"/>
      <c r="E39" s="387" t="s">
        <v>230</v>
      </c>
      <c r="F39" s="376" t="s">
        <v>209</v>
      </c>
      <c r="G39" s="377">
        <v>0</v>
      </c>
      <c r="H39" s="379">
        <v>37991</v>
      </c>
      <c r="I39" s="379">
        <v>12500</v>
      </c>
      <c r="J39" s="454">
        <v>0</v>
      </c>
      <c r="K39" s="379">
        <v>765</v>
      </c>
      <c r="L39" s="379">
        <v>0</v>
      </c>
      <c r="M39" s="379">
        <v>0</v>
      </c>
      <c r="N39" s="379">
        <v>2198</v>
      </c>
      <c r="O39" s="379">
        <v>4715</v>
      </c>
      <c r="P39" s="379">
        <v>0</v>
      </c>
      <c r="Q39" s="379">
        <v>5067</v>
      </c>
      <c r="R39" s="379"/>
      <c r="S39" s="379">
        <v>0</v>
      </c>
      <c r="T39" s="379">
        <f t="shared" si="1"/>
        <v>63236</v>
      </c>
      <c r="U39" s="347"/>
    </row>
    <row r="40" spans="1:21" ht="21" customHeight="1">
      <c r="A40" s="343"/>
      <c r="B40" s="368"/>
      <c r="C40" s="369"/>
      <c r="D40" s="375"/>
      <c r="E40" s="375" t="s">
        <v>192</v>
      </c>
      <c r="F40" s="376" t="s">
        <v>209</v>
      </c>
      <c r="G40" s="377">
        <v>0</v>
      </c>
      <c r="H40" s="379">
        <v>0</v>
      </c>
      <c r="I40" s="379">
        <v>0</v>
      </c>
      <c r="J40" s="454">
        <v>0</v>
      </c>
      <c r="K40" s="379">
        <v>0</v>
      </c>
      <c r="L40" s="379">
        <v>0</v>
      </c>
      <c r="M40" s="379">
        <v>0</v>
      </c>
      <c r="N40" s="379">
        <v>0</v>
      </c>
      <c r="O40" s="379">
        <v>0</v>
      </c>
      <c r="P40" s="379"/>
      <c r="Q40" s="379">
        <v>0</v>
      </c>
      <c r="R40" s="379">
        <v>0</v>
      </c>
      <c r="S40" s="379">
        <v>0</v>
      </c>
      <c r="T40" s="379">
        <f t="shared" si="1"/>
        <v>0</v>
      </c>
      <c r="U40" s="347"/>
    </row>
    <row r="41" spans="1:21" ht="21" customHeight="1">
      <c r="A41" s="343"/>
      <c r="B41" s="368"/>
      <c r="C41" s="369"/>
      <c r="D41" s="370" t="s">
        <v>213</v>
      </c>
      <c r="E41" s="370"/>
      <c r="F41" s="371" t="s">
        <v>208</v>
      </c>
      <c r="G41" s="372">
        <f>G43</f>
        <v>0</v>
      </c>
      <c r="H41" s="374">
        <f aca="true" t="shared" si="8" ref="H41:S41">H43</f>
        <v>0</v>
      </c>
      <c r="I41" s="374">
        <f t="shared" si="8"/>
        <v>0</v>
      </c>
      <c r="J41" s="453" t="s">
        <v>506</v>
      </c>
      <c r="K41" s="374">
        <f t="shared" si="8"/>
        <v>0</v>
      </c>
      <c r="L41" s="374">
        <f t="shared" si="8"/>
        <v>0</v>
      </c>
      <c r="M41" s="374">
        <f t="shared" si="8"/>
        <v>0</v>
      </c>
      <c r="N41" s="374">
        <f t="shared" si="8"/>
        <v>0</v>
      </c>
      <c r="O41" s="374">
        <f t="shared" si="8"/>
        <v>0</v>
      </c>
      <c r="P41" s="374">
        <f t="shared" si="8"/>
        <v>0</v>
      </c>
      <c r="Q41" s="374">
        <f t="shared" si="8"/>
        <v>0</v>
      </c>
      <c r="R41" s="374">
        <f t="shared" si="8"/>
        <v>0</v>
      </c>
      <c r="S41" s="374">
        <f t="shared" si="8"/>
        <v>0</v>
      </c>
      <c r="T41" s="374">
        <f t="shared" si="1"/>
        <v>0</v>
      </c>
      <c r="U41" s="347"/>
    </row>
    <row r="42" spans="1:21" ht="21" customHeight="1">
      <c r="A42" s="343"/>
      <c r="B42" s="368"/>
      <c r="C42" s="369"/>
      <c r="D42" s="370"/>
      <c r="E42" s="375"/>
      <c r="F42" s="376" t="s">
        <v>209</v>
      </c>
      <c r="G42" s="377">
        <f>G44+G45</f>
        <v>0</v>
      </c>
      <c r="H42" s="379">
        <v>167989</v>
      </c>
      <c r="I42" s="379">
        <f aca="true" t="shared" si="9" ref="I42:S42">I44+I45</f>
        <v>0</v>
      </c>
      <c r="J42" s="454" t="s">
        <v>506</v>
      </c>
      <c r="K42" s="379">
        <f t="shared" si="9"/>
        <v>98104</v>
      </c>
      <c r="L42" s="379">
        <f t="shared" si="9"/>
        <v>0</v>
      </c>
      <c r="M42" s="379">
        <f t="shared" si="9"/>
        <v>0</v>
      </c>
      <c r="N42" s="379">
        <f t="shared" si="9"/>
        <v>6338</v>
      </c>
      <c r="O42" s="379">
        <f t="shared" si="9"/>
        <v>0</v>
      </c>
      <c r="P42" s="379">
        <f t="shared" si="9"/>
        <v>0</v>
      </c>
      <c r="Q42" s="379">
        <f t="shared" si="9"/>
        <v>2625</v>
      </c>
      <c r="R42" s="379">
        <f t="shared" si="9"/>
        <v>0</v>
      </c>
      <c r="S42" s="379">
        <f t="shared" si="9"/>
        <v>0</v>
      </c>
      <c r="T42" s="379">
        <f t="shared" si="1"/>
        <v>275056</v>
      </c>
      <c r="U42" s="347"/>
    </row>
    <row r="43" spans="1:21" ht="21" customHeight="1">
      <c r="A43" s="343"/>
      <c r="B43" s="368"/>
      <c r="C43" s="369"/>
      <c r="D43" s="370"/>
      <c r="E43" s="370" t="s">
        <v>217</v>
      </c>
      <c r="F43" s="371" t="s">
        <v>208</v>
      </c>
      <c r="G43" s="372">
        <v>0</v>
      </c>
      <c r="H43" s="374">
        <v>0</v>
      </c>
      <c r="I43" s="374">
        <v>0</v>
      </c>
      <c r="J43" s="453" t="s">
        <v>506</v>
      </c>
      <c r="K43" s="374">
        <v>0</v>
      </c>
      <c r="L43" s="374">
        <v>0</v>
      </c>
      <c r="M43" s="374">
        <v>0</v>
      </c>
      <c r="N43" s="374">
        <v>0</v>
      </c>
      <c r="O43" s="374">
        <v>0</v>
      </c>
      <c r="P43" s="374">
        <v>0</v>
      </c>
      <c r="Q43" s="374">
        <v>0</v>
      </c>
      <c r="R43" s="374">
        <v>0</v>
      </c>
      <c r="S43" s="374">
        <v>0</v>
      </c>
      <c r="T43" s="374">
        <f t="shared" si="1"/>
        <v>0</v>
      </c>
      <c r="U43" s="347"/>
    </row>
    <row r="44" spans="1:21" ht="21" customHeight="1">
      <c r="A44" s="343"/>
      <c r="B44" s="368"/>
      <c r="C44" s="369"/>
      <c r="D44" s="370"/>
      <c r="E44" s="375"/>
      <c r="F44" s="376" t="s">
        <v>209</v>
      </c>
      <c r="G44" s="377">
        <v>0</v>
      </c>
      <c r="H44" s="379">
        <v>0</v>
      </c>
      <c r="I44" s="379">
        <v>0</v>
      </c>
      <c r="J44" s="454" t="s">
        <v>506</v>
      </c>
      <c r="K44" s="379">
        <v>0</v>
      </c>
      <c r="L44" s="379">
        <v>0</v>
      </c>
      <c r="M44" s="379">
        <v>0</v>
      </c>
      <c r="N44" s="379">
        <v>0</v>
      </c>
      <c r="O44" s="379">
        <v>0</v>
      </c>
      <c r="P44" s="379">
        <v>0</v>
      </c>
      <c r="Q44" s="379">
        <v>0</v>
      </c>
      <c r="R44" s="379">
        <v>0</v>
      </c>
      <c r="S44" s="379">
        <v>0</v>
      </c>
      <c r="T44" s="379">
        <f t="shared" si="1"/>
        <v>0</v>
      </c>
      <c r="U44" s="347"/>
    </row>
    <row r="45" spans="1:21" ht="21" customHeight="1">
      <c r="A45" s="343"/>
      <c r="B45" s="381"/>
      <c r="C45" s="375"/>
      <c r="D45" s="375"/>
      <c r="E45" s="375" t="s">
        <v>192</v>
      </c>
      <c r="F45" s="376" t="s">
        <v>209</v>
      </c>
      <c r="G45" s="377">
        <v>0</v>
      </c>
      <c r="H45" s="379">
        <v>167989</v>
      </c>
      <c r="I45" s="379">
        <v>0</v>
      </c>
      <c r="J45" s="454">
        <v>0</v>
      </c>
      <c r="K45" s="379">
        <v>98104</v>
      </c>
      <c r="L45" s="379">
        <v>0</v>
      </c>
      <c r="M45" s="379">
        <v>0</v>
      </c>
      <c r="N45" s="379">
        <v>6338</v>
      </c>
      <c r="O45" s="379">
        <v>0</v>
      </c>
      <c r="P45" s="379">
        <v>0</v>
      </c>
      <c r="Q45" s="379">
        <v>2625</v>
      </c>
      <c r="R45" s="379">
        <v>0</v>
      </c>
      <c r="S45" s="379">
        <v>0</v>
      </c>
      <c r="T45" s="379">
        <f t="shared" si="1"/>
        <v>275056</v>
      </c>
      <c r="U45" s="347"/>
    </row>
    <row r="46" spans="1:21" ht="21" customHeight="1">
      <c r="A46" s="343"/>
      <c r="B46" s="368" t="s">
        <v>231</v>
      </c>
      <c r="C46" s="369"/>
      <c r="D46" s="370"/>
      <c r="E46" s="370"/>
      <c r="F46" s="371" t="s">
        <v>208</v>
      </c>
      <c r="G46" s="372">
        <f>'07繰入金(1)'!G11+'07繰入金(1)'!G19+'07繰入金(1)'!G38+'08繰入金(2)'!G19+'08繰入金(2)'!G25+'08繰入金(2)'!G34+'08繰入金(2)'!G41</f>
        <v>1238390</v>
      </c>
      <c r="H46" s="374">
        <f>'07繰入金(1)'!H11+'07繰入金(1)'!H19+'07繰入金(1)'!H38+'08繰入金(2)'!H19+'08繰入金(2)'!H25+'08繰入金(2)'!H34+'08繰入金(2)'!H41</f>
        <v>334245</v>
      </c>
      <c r="I46" s="374">
        <f>'07繰入金(1)'!I11+'07繰入金(1)'!I19+'07繰入金(1)'!I38+'08繰入金(2)'!I19+'08繰入金(2)'!I25+'08繰入金(2)'!I34+'08繰入金(2)'!I41</f>
        <v>943504</v>
      </c>
      <c r="J46" s="453" t="s">
        <v>506</v>
      </c>
      <c r="K46" s="374">
        <f>'07繰入金(1)'!K11+'07繰入金(1)'!K19+'07繰入金(1)'!K38+'08繰入金(2)'!K19+'08繰入金(2)'!K25+'08繰入金(2)'!K34+'08繰入金(2)'!K41</f>
        <v>1339861</v>
      </c>
      <c r="L46" s="374">
        <f>'07繰入金(1)'!L11+'07繰入金(1)'!L19+'07繰入金(1)'!L38+'08繰入金(2)'!L19+'08繰入金(2)'!L25+'08繰入金(2)'!L34+'08繰入金(2)'!L41</f>
        <v>544409</v>
      </c>
      <c r="M46" s="374">
        <f>'07繰入金(1)'!M11+'07繰入金(1)'!M19+'07繰入金(1)'!M38+'08繰入金(2)'!M19+'08繰入金(2)'!M25+'08繰入金(2)'!M34+'08繰入金(2)'!M41</f>
        <v>272789</v>
      </c>
      <c r="N46" s="374">
        <f>'07繰入金(1)'!N11+'07繰入金(1)'!N19+'07繰入金(1)'!N38+'08繰入金(2)'!N19+'08繰入金(2)'!N25+'08繰入金(2)'!N34+'08繰入金(2)'!N41</f>
        <v>234978</v>
      </c>
      <c r="O46" s="374">
        <f>'07繰入金(1)'!O11+'07繰入金(1)'!O19+'07繰入金(1)'!O38+'08繰入金(2)'!O19+'08繰入金(2)'!O25+'08繰入金(2)'!O34+'08繰入金(2)'!O41</f>
        <v>351851</v>
      </c>
      <c r="P46" s="374">
        <f>'07繰入金(1)'!P11+'07繰入金(1)'!P19+'07繰入金(1)'!P38+'08繰入金(2)'!P19+'08繰入金(2)'!P25+'08繰入金(2)'!P34+'08繰入金(2)'!P41</f>
        <v>32659</v>
      </c>
      <c r="Q46" s="374">
        <f>'07繰入金(1)'!Q11+'07繰入金(1)'!Q19+'07繰入金(1)'!Q38+'08繰入金(2)'!Q19+'08繰入金(2)'!Q25+'08繰入金(2)'!Q34+'08繰入金(2)'!Q41</f>
        <v>77171</v>
      </c>
      <c r="R46" s="374">
        <f>'07繰入金(1)'!R11+'07繰入金(1)'!R19+'07繰入金(1)'!R38+'08繰入金(2)'!R19+'08繰入金(2)'!R25+'08繰入金(2)'!R34+'08繰入金(2)'!R41</f>
        <v>262609</v>
      </c>
      <c r="S46" s="374">
        <f>'07繰入金(1)'!S11+'07繰入金(1)'!S19+'07繰入金(1)'!S38+'08繰入金(2)'!S19+'08繰入金(2)'!S25+'08繰入金(2)'!S34+'08繰入金(2)'!S41</f>
        <v>393415</v>
      </c>
      <c r="T46" s="374">
        <f t="shared" si="1"/>
        <v>6025881</v>
      </c>
      <c r="U46" s="347"/>
    </row>
    <row r="47" spans="1:21" ht="21" customHeight="1">
      <c r="A47" s="343"/>
      <c r="B47" s="381"/>
      <c r="C47" s="375"/>
      <c r="D47" s="375"/>
      <c r="E47" s="375"/>
      <c r="F47" s="376" t="s">
        <v>209</v>
      </c>
      <c r="G47" s="377">
        <f>'07繰入金(1)'!G12+'07繰入金(1)'!G20+'07繰入金(1)'!G39+'08繰入金(2)'!G20+'08繰入金(2)'!G26+'08繰入金(2)'!G35+'08繰入金(2)'!G42</f>
        <v>1191822</v>
      </c>
      <c r="H47" s="379">
        <f>'07繰入金(1)'!H12+'07繰入金(1)'!H20+'07繰入金(1)'!H39+'08繰入金(2)'!H20+'08繰入金(2)'!H26+'08繰入金(2)'!H35+'08繰入金(2)'!H42</f>
        <v>1072059</v>
      </c>
      <c r="I47" s="379">
        <f>'07繰入金(1)'!I12+'07繰入金(1)'!I20+'07繰入金(1)'!I39+'08繰入金(2)'!I20+'08繰入金(2)'!I26+'08繰入金(2)'!I35+'08繰入金(2)'!I42</f>
        <v>945504</v>
      </c>
      <c r="J47" s="454" t="s">
        <v>506</v>
      </c>
      <c r="K47" s="379">
        <f>'07繰入金(1)'!K12+'07繰入金(1)'!K20+'07繰入金(1)'!K39+'08繰入金(2)'!K20+'08繰入金(2)'!K26+'08繰入金(2)'!K35+'08繰入金(2)'!K42</f>
        <v>1468637</v>
      </c>
      <c r="L47" s="379">
        <f>'07繰入金(1)'!L12+'07繰入金(1)'!L20+'07繰入金(1)'!L39+'08繰入金(2)'!L20+'08繰入金(2)'!L26+'08繰入金(2)'!L35+'08繰入金(2)'!L42</f>
        <v>350000</v>
      </c>
      <c r="M47" s="379">
        <f>'07繰入金(1)'!M12+'07繰入金(1)'!M20+'07繰入金(1)'!M39+'08繰入金(2)'!M20+'08繰入金(2)'!M26+'08繰入金(2)'!M35+'08繰入金(2)'!M42</f>
        <v>307738</v>
      </c>
      <c r="N47" s="379">
        <f>'07繰入金(1)'!N12+'07繰入金(1)'!N20+'07繰入金(1)'!N39+'08繰入金(2)'!N20+'08繰入金(2)'!N26+'08繰入金(2)'!N35+'08繰入金(2)'!N42</f>
        <v>506338</v>
      </c>
      <c r="O47" s="379">
        <f>'07繰入金(1)'!O12+'07繰入金(1)'!O20+'07繰入金(1)'!O39+'08繰入金(2)'!O20+'08繰入金(2)'!O26+'08繰入金(2)'!O35+'08繰入金(2)'!O42</f>
        <v>1135795</v>
      </c>
      <c r="P47" s="379">
        <f>'07繰入金(1)'!P12+'07繰入金(1)'!P20+'07繰入金(1)'!P39+'08繰入金(2)'!P20+'08繰入金(2)'!P26+'08繰入金(2)'!P35+'08繰入金(2)'!P42</f>
        <v>182825</v>
      </c>
      <c r="Q47" s="379">
        <f>'07繰入金(1)'!Q12+'07繰入金(1)'!Q20+'07繰入金(1)'!Q39+'08繰入金(2)'!Q20+'08繰入金(2)'!Q26+'08繰入金(2)'!Q35+'08繰入金(2)'!Q42</f>
        <v>94133</v>
      </c>
      <c r="R47" s="379">
        <f>'07繰入金(1)'!R12+'07繰入金(1)'!R20+'07繰入金(1)'!R39+'08繰入金(2)'!R20+'08繰入金(2)'!R26+'08繰入金(2)'!R35+'08繰入金(2)'!R42</f>
        <v>260000</v>
      </c>
      <c r="S47" s="379">
        <f>'07繰入金(1)'!S12+'07繰入金(1)'!S20+'07繰入金(1)'!S39+'08繰入金(2)'!S20+'08繰入金(2)'!S26+'08繰入金(2)'!S35+'08繰入金(2)'!S42</f>
        <v>385042</v>
      </c>
      <c r="T47" s="379">
        <f t="shared" si="1"/>
        <v>7899893</v>
      </c>
      <c r="U47" s="347"/>
    </row>
    <row r="48" spans="1:21" ht="21" customHeight="1">
      <c r="A48" s="343"/>
      <c r="B48" s="389"/>
      <c r="C48" s="390"/>
      <c r="D48" s="391" t="s">
        <v>234</v>
      </c>
      <c r="E48" s="369"/>
      <c r="F48" s="371" t="s">
        <v>208</v>
      </c>
      <c r="G48" s="392">
        <v>0</v>
      </c>
      <c r="H48" s="385">
        <v>0</v>
      </c>
      <c r="I48" s="385">
        <v>0</v>
      </c>
      <c r="J48" s="455" t="s">
        <v>506</v>
      </c>
      <c r="K48" s="385">
        <v>0</v>
      </c>
      <c r="L48" s="385">
        <v>0</v>
      </c>
      <c r="M48" s="385">
        <v>0</v>
      </c>
      <c r="N48" s="385">
        <v>0</v>
      </c>
      <c r="O48" s="385">
        <v>0</v>
      </c>
      <c r="P48" s="385">
        <v>0</v>
      </c>
      <c r="Q48" s="385">
        <v>0</v>
      </c>
      <c r="R48" s="385">
        <v>0</v>
      </c>
      <c r="S48" s="385">
        <v>0</v>
      </c>
      <c r="T48" s="385">
        <f t="shared" si="1"/>
        <v>0</v>
      </c>
      <c r="U48" s="347"/>
    </row>
    <row r="49" spans="1:21" ht="21" customHeight="1">
      <c r="A49" s="343"/>
      <c r="B49" s="393"/>
      <c r="C49" s="394"/>
      <c r="D49" s="375"/>
      <c r="E49" s="375"/>
      <c r="F49" s="376" t="s">
        <v>209</v>
      </c>
      <c r="G49" s="395">
        <v>0</v>
      </c>
      <c r="H49" s="396">
        <v>0</v>
      </c>
      <c r="I49" s="396">
        <v>0</v>
      </c>
      <c r="J49" s="456">
        <v>0</v>
      </c>
      <c r="K49" s="396">
        <v>0</v>
      </c>
      <c r="L49" s="396">
        <v>0</v>
      </c>
      <c r="M49" s="396">
        <v>0</v>
      </c>
      <c r="N49" s="396">
        <v>0</v>
      </c>
      <c r="O49" s="396"/>
      <c r="P49" s="396">
        <v>0</v>
      </c>
      <c r="Q49" s="396">
        <v>0</v>
      </c>
      <c r="R49" s="396">
        <v>0</v>
      </c>
      <c r="S49" s="396">
        <v>0</v>
      </c>
      <c r="T49" s="397">
        <f t="shared" si="1"/>
        <v>0</v>
      </c>
      <c r="U49" s="347"/>
    </row>
    <row r="50" spans="1:21" ht="21" customHeight="1" thickBot="1">
      <c r="A50" s="343"/>
      <c r="B50" s="344" t="s">
        <v>232</v>
      </c>
      <c r="C50" s="345"/>
      <c r="D50" s="345"/>
      <c r="E50" s="345"/>
      <c r="F50" s="345"/>
      <c r="G50" s="428">
        <v>26574</v>
      </c>
      <c r="H50" s="429">
        <v>795788</v>
      </c>
      <c r="I50" s="429">
        <v>2000</v>
      </c>
      <c r="J50" s="457">
        <v>0</v>
      </c>
      <c r="K50" s="429">
        <v>48879</v>
      </c>
      <c r="L50" s="429">
        <v>0</v>
      </c>
      <c r="M50" s="429">
        <v>175079</v>
      </c>
      <c r="N50" s="429">
        <v>142392</v>
      </c>
      <c r="O50" s="429">
        <v>783944</v>
      </c>
      <c r="P50" s="429">
        <v>149607</v>
      </c>
      <c r="Q50" s="429">
        <v>14337</v>
      </c>
      <c r="R50" s="429">
        <v>0</v>
      </c>
      <c r="S50" s="429">
        <v>0</v>
      </c>
      <c r="T50" s="346">
        <f t="shared" si="1"/>
        <v>2138600</v>
      </c>
      <c r="U50" s="347"/>
    </row>
    <row r="51" spans="7:20" ht="17.25">
      <c r="G51" s="398"/>
      <c r="H51" s="398"/>
      <c r="I51" s="398"/>
      <c r="J51" s="398"/>
      <c r="K51" s="398"/>
      <c r="L51" s="398"/>
      <c r="M51" s="398"/>
      <c r="N51" s="398"/>
      <c r="O51" s="398"/>
      <c r="P51" s="398"/>
      <c r="Q51" s="398"/>
      <c r="R51" s="398"/>
      <c r="S51" s="398"/>
      <c r="T51" s="398"/>
    </row>
    <row r="52" spans="7:20" ht="17.25"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</row>
    <row r="53" spans="18:20" ht="17.25">
      <c r="R53" s="414" t="s">
        <v>488</v>
      </c>
      <c r="S53" s="414" t="s">
        <v>489</v>
      </c>
      <c r="T53" s="416">
        <f>T25+T34+T41</f>
        <v>2009473</v>
      </c>
    </row>
    <row r="54" spans="18:20" ht="17.25">
      <c r="R54" s="305"/>
      <c r="S54" s="414" t="s">
        <v>490</v>
      </c>
      <c r="T54" s="416">
        <f>T26+T35+T42</f>
        <v>2194859</v>
      </c>
    </row>
    <row r="55" ht="17.25">
      <c r="T55" s="416"/>
    </row>
    <row r="56" ht="17.25">
      <c r="T56" s="416"/>
    </row>
  </sheetData>
  <sheetProtection/>
  <mergeCells count="1">
    <mergeCell ref="J6:J7"/>
  </mergeCells>
  <printOptions/>
  <pageMargins left="0.7874015748031497" right="0.3937007874015748" top="0.7874015748031497" bottom="0.5905511811023623" header="0.5905511811023623" footer="0.3937007874015748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2013-11-11T06:32:51Z</cp:lastPrinted>
  <dcterms:created xsi:type="dcterms:W3CDTF">2000-11-09T07:23:50Z</dcterms:created>
  <dcterms:modified xsi:type="dcterms:W3CDTF">2014-07-10T00:18:05Z</dcterms:modified>
  <cp:category/>
  <cp:version/>
  <cp:contentType/>
  <cp:contentStatus/>
</cp:coreProperties>
</file>