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640" activeTab="0"/>
  </bookViews>
  <sheets>
    <sheet name="１　２０歳以上で入所施設を利用されている方" sheetId="1" r:id="rId1"/>
    <sheet name="２　２０歳未満、入所施設利用一般世帯（所得割２８万以上）" sheetId="2" r:id="rId2"/>
    <sheet name="３　２０歳未満、入所施設利用一般世帯（所得割２８万未満）" sheetId="3" r:id="rId3"/>
    <sheet name="４　２０歳未満、入所施設利用低所得世帯" sheetId="4" r:id="rId4"/>
  </sheets>
  <definedNames>
    <definedName name="_xlnm.Print_Area" localSheetId="0">'１　２０歳以上で入所施設を利用されている方'!$A$1:$K$55</definedName>
    <definedName name="_xlnm.Print_Area" localSheetId="2">'３　２０歳未満、入所施設利用一般世帯（所得割２８万未満）'!$A$1:$N$36</definedName>
    <definedName name="_xlnm.Print_Area" localSheetId="3">'４　２０歳未満、入所施設利用低所得世帯'!$A$1:$N$36</definedName>
  </definedNames>
  <calcPr fullCalcOnLoad="1"/>
</workbook>
</file>

<file path=xl/sharedStrings.xml><?xml version="1.0" encoding="utf-8"?>
<sst xmlns="http://schemas.openxmlformats.org/spreadsheetml/2006/main" count="148" uniqueCount="117">
  <si>
    <t>１　２０歳以上で医療型障害児施設に入所されている方</t>
  </si>
  <si>
    <t>認定所得区分</t>
  </si>
  <si>
    <t>※生活保護世帯、一般世帯に当たる場合、この減免制度の対象ではない。</t>
  </si>
  <si>
    <t>◇ 特定目的収入･･･国、地方公共団体等から特定の目的に充てるために支給されるもの</t>
  </si>
  <si>
    <t>　　　・地方公共団体から医療費の自己負担分として支給される額</t>
  </si>
  <si>
    <t>　　　・原子爆弾被爆者に対する援護に関する法律により支給される医療特別手当
　　　及び特別手当のうち、生活保護基準の放射線障害者加算に相当する額</t>
  </si>
  <si>
    <t>　　　・児童福祉法により支給される児童手当等利用者本人の生活費以外の用途に
　　　充てることとさている金銭</t>
  </si>
  <si>
    <t>◇ 必要経費</t>
  </si>
  <si>
    <t>　　　・租税の課税額</t>
  </si>
  <si>
    <t>　　　・社会保険料（６５歳以上の施設入所者については、介護保険料を除く）</t>
  </si>
  <si>
    <t>その他生活費の額</t>
  </si>
  <si>
    <t>月額</t>
  </si>
  <si>
    <t>特定目的収入</t>
  </si>
  <si>
    <t>負担を取る収入</t>
  </si>
  <si>
    <t>必要経費</t>
  </si>
  <si>
    <t>認定収入額</t>
  </si>
  <si>
    <t>日額</t>
  </si>
  <si>
    <t>←施設に応じた平均単位数を入力</t>
  </si>
  <si>
    <t>福祉部分の負担上限額</t>
  </si>
  <si>
    <t>医療型個別減免後福祉部分負担限度額</t>
  </si>
  <si>
    <t>医療型個別減免後医療部分負担限度額</t>
  </si>
  <si>
    <t>月額医療費</t>
  </si>
  <si>
    <t>医療部分の負担上限額</t>
  </si>
  <si>
    <t>負担上限月額</t>
  </si>
  <si>
    <t>◇負担を取る収入</t>
  </si>
  <si>
    <t>1　2及び3以外の者</t>
  </si>
  <si>
    <t>3　６５歳以上（2に区分される者を除く）</t>
  </si>
  <si>
    <t>最終的な負担上限月額は以下のようになります。</t>
  </si>
  <si>
    <t>内訳</t>
  </si>
  <si>
    <t>医療型個別減免シート</t>
  </si>
  <si>
    <t>よって、あなたの負担上限額は、</t>
  </si>
  <si>
    <t>になります。</t>
  </si>
  <si>
    <t>です。</t>
  </si>
  <si>
    <t>医療型個別減免シート</t>
  </si>
  <si>
    <t>となります。</t>
  </si>
  <si>
    <t>←低所得１の場合１、低所得２の場合２と記入する。</t>
  </si>
  <si>
    <t>　　</t>
  </si>
  <si>
    <t>←医療費定率負担上限額（通常）</t>
  </si>
  <si>
    <t>となります。</t>
  </si>
  <si>
    <t>　　　・特定目的以外の収入(障害年金等）</t>
  </si>
  <si>
    <t>日額単位</t>
  </si>
  <si>
    <t>←日額単位数を記入してください。</t>
  </si>
  <si>
    <t>←該当する区分の数字を入力</t>
  </si>
  <si>
    <t>　医療型個別減免を受けることができるのは、以下の条件をすべて満たしている方です。</t>
  </si>
  <si>
    <t>　・市町村民税非課税世帯の方(低所得１、低所得２に該当する方）</t>
  </si>
  <si>
    <t>2　障害基礎年金１級受給者、６０～６４歳の者、６５歳以上で重症心身
　　　障害児施設入所者、療養介護利用者</t>
  </si>
  <si>
    <r>
      <t>　　　・生活保護法において収入として認定されないこととされている収入</t>
    </r>
    <r>
      <rPr>
        <sz val="11"/>
        <color indexed="10"/>
        <rFont val="HGPｺﾞｼｯｸM"/>
        <family val="3"/>
      </rPr>
      <t>（稼得収入とされるものを除く）</t>
    </r>
  </si>
  <si>
    <t>※低所得１の方は１、低所得２の方は２を入力。</t>
  </si>
  <si>
    <t>※　太枠の欄のみ記入してください。</t>
  </si>
  <si>
    <t>　※　太枠の部分のみ記入してください。</t>
  </si>
  <si>
    <t>　※　太枠の欄のみ記入してください。</t>
  </si>
  <si>
    <t>定率負担上限額</t>
  </si>
  <si>
    <t>　福祉サービスの日額単位を入力してください。</t>
  </si>
  <si>
    <t>　月額平均医療費を入力してください。</t>
  </si>
  <si>
    <t>・あなたの年齢を数字で入力してください。</t>
  </si>
  <si>
    <t>・世帯の収入区分は、</t>
  </si>
  <si>
    <t>・この場合、負担限度額は、</t>
  </si>
  <si>
    <t>③食事負担限度額</t>
  </si>
  <si>
    <r>
      <t>←比較定率負担上限額（②ア</t>
    </r>
    <r>
      <rPr>
        <sz val="16"/>
        <color indexed="10"/>
        <rFont val="HGPｺﾞｼｯｸM"/>
        <family val="3"/>
      </rPr>
      <t>選定額「通常の上限額と平均医療費×１/１０のいずれか低い額」</t>
    </r>
    <r>
      <rPr>
        <sz val="16"/>
        <rFont val="HGPｺﾞｼｯｸM"/>
        <family val="3"/>
      </rPr>
      <t>）</t>
    </r>
  </si>
  <si>
    <t>・算定上の地域で子どもを育てるために通常必要な費用は</t>
  </si>
  <si>
    <t>→実際は</t>
  </si>
  <si>
    <t>です。</t>
  </si>
  <si>
    <t>定率負担上限額（算定用）</t>
  </si>
  <si>
    <t>です。（A）</t>
  </si>
  <si>
    <t>　　　　</t>
  </si>
  <si>
    <t>↓</t>
  </si>
  <si>
    <t>←便宜上、計算で使う負担限度額（C）</t>
  </si>
  <si>
    <t>・あなたの負担限度額は</t>
  </si>
  <si>
    <t>・福祉部分の定率負担額を決定します。</t>
  </si>
  <si>
    <t>・医療部分の定率負担額を決定します。</t>
  </si>
  <si>
    <t>・福祉部分の定率負担額は、</t>
  </si>
  <si>
    <t>・医療部分の定率負担額は、</t>
  </si>
  <si>
    <t>③食事療養に係る標準負担額</t>
  </si>
  <si>
    <t>・認定収入額の算定</t>
  </si>
  <si>
    <t>・食費負担限度額</t>
  </si>
  <si>
    <t>・福祉部分の負担限度額の設定</t>
  </si>
  <si>
    <t>　　　　　①食事負担額</t>
  </si>
  <si>
    <t>です。</t>
  </si>
  <si>
    <t>　なお、その他の生活費は、</t>
  </si>
  <si>
    <t>・医療部分の負担限度額の設定</t>
  </si>
  <si>
    <t>・福祉部分の負担上限額</t>
  </si>
  <si>
    <t>・医療部分の負担上限</t>
  </si>
  <si>
    <t>医療費負担上限額</t>
  </si>
  <si>
    <t>①医療型個別減免後福祉部分定率負担限度額</t>
  </si>
  <si>
    <t>②医療型個別減免後医療部分定率負担限度額</t>
  </si>
  <si>
    <t>①福祉部分の定率負担限度額</t>
  </si>
  <si>
    <t>②医療部分の定率負担限度額</t>
  </si>
  <si>
    <t>　　　　　②医療型個別減免後福祉部分定率負担限度額</t>
  </si>
  <si>
    <t>　　　　　③医療型個別減免後医療部分定率負担限度額</t>
  </si>
  <si>
    <t>です。（A）</t>
  </si>
  <si>
    <t>です。</t>
  </si>
  <si>
    <t>となります。</t>
  </si>
  <si>
    <t>です。</t>
  </si>
  <si>
    <t>　　</t>
  </si>
  <si>
    <t>　　　　</t>
  </si>
  <si>
    <t>↓</t>
  </si>
  <si>
    <t>↓</t>
  </si>
  <si>
    <t>となります。</t>
  </si>
  <si>
    <t>　その他の生活費は、</t>
  </si>
  <si>
    <t>（食事療養に係る標準負担額：低所得１，低所得２）</t>
  </si>
  <si>
    <t>・利用される児童等の年齢を数字で入力してください。</t>
  </si>
  <si>
    <t>４　２０歳未満で入所施設を利用されている方（低所得世帯の場合）</t>
  </si>
  <si>
    <t>　その他生活費の額は、</t>
  </si>
  <si>
    <t>←月額平均医療費の全額を入力</t>
  </si>
  <si>
    <t>個別減免後の最終的な負担上限月額は以下のようになります。</t>
  </si>
  <si>
    <t>になります。</t>
  </si>
  <si>
    <t>あなたの負担上限額は、</t>
  </si>
  <si>
    <t>←月額平均医療費を記入してください。</t>
  </si>
  <si>
    <t>※食費等の日額実費負担は、「健康保険法上の実費負担額」であるが、健康保険にて行う減免を優先して行うこと。</t>
  </si>
  <si>
    <t>・通所施設・在宅サービス等軽減が適用される場合は、１と記入してください。</t>
  </si>
  <si>
    <t>通所施設・在宅サービス等軽減適用の場合</t>
  </si>
  <si>
    <t>←通所施設・在宅サービス等軽減後、実質負担額</t>
  </si>
  <si>
    <r>
      <t>・</t>
    </r>
    <r>
      <rPr>
        <sz val="12"/>
        <rFont val="HGPｺﾞｼｯｸM"/>
        <family val="3"/>
      </rPr>
      <t>通所施設・在宅サービス等軽減が適用される場合は、１と記入してください。</t>
    </r>
  </si>
  <si>
    <t>　・本人名義の預貯金等（特定贈与信託等の信託財産を除く）の合計額が５００万円以下の方</t>
  </si>
  <si>
    <t>２　２０歳未満で入所施設を利用されている方（一般世帯（市町村民税所得割の額が２８万円以上）の方）</t>
  </si>
  <si>
    <t>３　２０歳未満で入所施設を利用されている方（市町村民税所得割の額が２８万円未満の一般世帯の方）</t>
  </si>
  <si>
    <t>市町村民税所得割２８万円未満世帯の場合１を記入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</si>
</sst>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低&quot;&quot;所&quot;&quot;得&quot;#"/>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quot;単位&quot;"/>
    <numFmt numFmtId="185" formatCode="#,###&quot;歳&quot;"/>
    <numFmt numFmtId="186" formatCode="0.0_);[Red]\(0.0\)"/>
  </numFmts>
  <fonts count="1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HGPｺﾞｼｯｸM"/>
      <family val="3"/>
    </font>
    <font>
      <sz val="12"/>
      <name val="HGPｺﾞｼｯｸM"/>
      <family val="3"/>
    </font>
    <font>
      <b/>
      <sz val="36"/>
      <name val="HGPｺﾞｼｯｸM"/>
      <family val="3"/>
    </font>
    <font>
      <sz val="14"/>
      <name val="HGPｺﾞｼｯｸM"/>
      <family val="3"/>
    </font>
    <font>
      <sz val="11"/>
      <name val="HGPｺﾞｼｯｸM"/>
      <family val="3"/>
    </font>
    <font>
      <b/>
      <sz val="16"/>
      <name val="HGPｺﾞｼｯｸM"/>
      <family val="3"/>
    </font>
    <font>
      <b/>
      <sz val="20"/>
      <name val="HGPｺﾞｼｯｸM"/>
      <family val="3"/>
    </font>
    <font>
      <sz val="11"/>
      <color indexed="10"/>
      <name val="HGPｺﾞｼｯｸM"/>
      <family val="3"/>
    </font>
    <font>
      <sz val="16"/>
      <color indexed="10"/>
      <name val="HGPｺﾞｼｯｸM"/>
      <family val="3"/>
    </font>
    <font>
      <b/>
      <sz val="22"/>
      <name val="HGPｺﾞｼｯｸM"/>
      <family val="3"/>
    </font>
  </fonts>
  <fills count="9">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51"/>
        <bgColor indexed="64"/>
      </patternFill>
    </fill>
    <fill>
      <patternFill patternType="solid">
        <fgColor indexed="45"/>
        <bgColor indexed="64"/>
      </patternFill>
    </fill>
  </fills>
  <borders count="41">
    <border>
      <left/>
      <right/>
      <top/>
      <bottom/>
      <diagonal/>
    </border>
    <border>
      <left>
        <color indexed="63"/>
      </left>
      <right>
        <color indexed="63"/>
      </right>
      <top style="thin"/>
      <bottom style="thin"/>
    </border>
    <border>
      <left>
        <color indexed="63"/>
      </left>
      <right>
        <color indexed="63"/>
      </right>
      <top style="thin"/>
      <bottom style="medium"/>
    </border>
    <border>
      <left style="medium"/>
      <right style="medium"/>
      <top style="medium"/>
      <bottom style="medium"/>
    </border>
    <border>
      <left>
        <color indexed="63"/>
      </left>
      <right>
        <color indexed="63"/>
      </right>
      <top style="medium"/>
      <bottom style="thin"/>
    </border>
    <border>
      <left style="medium"/>
      <right>
        <color indexed="63"/>
      </right>
      <top style="hair"/>
      <bottom style="hair"/>
    </border>
    <border>
      <left>
        <color indexed="63"/>
      </left>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style="medium"/>
      <right>
        <color indexed="63"/>
      </right>
      <top style="thin"/>
      <bottom style="hair"/>
    </border>
    <border>
      <left>
        <color indexed="63"/>
      </left>
      <right>
        <color indexed="63"/>
      </right>
      <top style="thin"/>
      <bottom style="hair"/>
    </border>
    <border>
      <left style="medium"/>
      <right>
        <color indexed="63"/>
      </right>
      <top style="hair"/>
      <bottom style="medium"/>
    </border>
    <border>
      <left>
        <color indexed="63"/>
      </left>
      <right>
        <color indexed="63"/>
      </right>
      <top style="hair"/>
      <bottom style="medium"/>
    </border>
    <border>
      <left style="thick"/>
      <right style="thick"/>
      <top style="thick"/>
      <bottom style="thick"/>
    </border>
    <border>
      <left style="medium"/>
      <right>
        <color indexed="63"/>
      </right>
      <top style="thin"/>
      <bottom>
        <color indexed="63"/>
      </bottom>
    </border>
    <border>
      <left>
        <color indexed="63"/>
      </left>
      <right>
        <color indexed="63"/>
      </right>
      <top style="thin"/>
      <bottom>
        <color indexed="63"/>
      </bottom>
    </border>
    <border>
      <left style="double"/>
      <right style="medium"/>
      <top style="medium"/>
      <bottom style="thin"/>
    </border>
    <border>
      <left>
        <color indexed="63"/>
      </left>
      <right style="medium"/>
      <top style="medium"/>
      <bottom>
        <color indexed="63"/>
      </bottom>
    </border>
    <border>
      <left>
        <color indexed="63"/>
      </left>
      <right style="medium"/>
      <top>
        <color indexed="63"/>
      </top>
      <bottom>
        <color indexed="63"/>
      </bottom>
    </border>
    <border>
      <left style="double"/>
      <right style="medium"/>
      <top style="thin"/>
      <bottom style="thin"/>
    </border>
    <border>
      <left style="double"/>
      <right style="medium"/>
      <top style="thin"/>
      <bottom style="medium"/>
    </border>
    <border>
      <left style="medium"/>
      <right>
        <color indexed="63"/>
      </right>
      <top style="medium"/>
      <bottom style="thin"/>
    </border>
    <border>
      <left style="thick"/>
      <right style="thick"/>
      <top style="thick"/>
      <bottom style="hair"/>
    </border>
    <border>
      <left style="thick"/>
      <right style="thick"/>
      <top style="hair"/>
      <bottom style="hair"/>
    </border>
    <border>
      <left style="thick"/>
      <right style="thick"/>
      <top style="hair"/>
      <bottom style="thick"/>
    </border>
    <border>
      <left>
        <color indexed="63"/>
      </left>
      <right>
        <color indexed="63"/>
      </right>
      <top>
        <color indexed="63"/>
      </top>
      <bottom style="thin"/>
    </border>
    <border>
      <left style="medium"/>
      <right>
        <color indexed="63"/>
      </right>
      <top style="thin"/>
      <bottom style="thin"/>
    </border>
    <border>
      <left style="medium"/>
      <right>
        <color indexed="63"/>
      </right>
      <top style="thin"/>
      <bottom style="medium"/>
    </border>
    <border>
      <left style="thick"/>
      <right>
        <color indexed="63"/>
      </right>
      <top>
        <color indexed="63"/>
      </top>
      <bottom>
        <color indexed="63"/>
      </bottom>
    </border>
    <border>
      <left style="thick"/>
      <right>
        <color indexed="63"/>
      </right>
      <top style="thick"/>
      <bottom style="thick"/>
    </border>
    <border>
      <left style="thin"/>
      <right style="thin"/>
      <top style="dotted"/>
      <bottom style="medium"/>
    </border>
    <border>
      <left style="thin"/>
      <right style="medium"/>
      <top style="dotted"/>
      <bottom style="medium"/>
    </border>
    <border>
      <left style="thin"/>
      <right>
        <color indexed="63"/>
      </right>
      <top style="medium"/>
      <bottom style="dotted"/>
    </border>
    <border>
      <left>
        <color indexed="63"/>
      </left>
      <right style="medium"/>
      <top style="medium"/>
      <bottom style="dotted"/>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dotted"/>
    </border>
    <border>
      <left>
        <color indexed="63"/>
      </left>
      <right style="thin"/>
      <top style="medium"/>
      <bottom style="dotted"/>
    </border>
    <border>
      <left style="medium"/>
      <right style="thin"/>
      <top style="dotted"/>
      <bottom style="medium"/>
    </border>
    <border>
      <left>
        <color indexed="63"/>
      </left>
      <right>
        <color indexed="63"/>
      </right>
      <top>
        <color indexed="63"/>
      </top>
      <bottom style="thick"/>
    </border>
    <border>
      <left>
        <color indexed="63"/>
      </left>
      <right style="thick"/>
      <top style="thick"/>
      <bottom style="thick"/>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18">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0" xfId="0" applyFont="1" applyAlignment="1">
      <alignment vertical="center" wrapText="1"/>
    </xf>
    <xf numFmtId="0" fontId="4" fillId="0" borderId="2" xfId="0" applyFont="1" applyBorder="1" applyAlignment="1">
      <alignment vertical="center"/>
    </xf>
    <xf numFmtId="0" fontId="4" fillId="0" borderId="0" xfId="0" applyFont="1" applyBorder="1" applyAlignment="1">
      <alignment vertical="center"/>
    </xf>
    <xf numFmtId="176" fontId="4" fillId="0" borderId="0" xfId="0" applyNumberFormat="1" applyFont="1" applyBorder="1" applyAlignment="1">
      <alignment horizontal="center" vertical="center"/>
    </xf>
    <xf numFmtId="0" fontId="4" fillId="0" borderId="3" xfId="0" applyFont="1" applyBorder="1" applyAlignment="1">
      <alignment horizontal="center" vertical="center"/>
    </xf>
    <xf numFmtId="176" fontId="4" fillId="0" borderId="0" xfId="0" applyNumberFormat="1" applyFont="1" applyAlignment="1">
      <alignment vertical="center"/>
    </xf>
    <xf numFmtId="0" fontId="4" fillId="0" borderId="0" xfId="0" applyNumberFormat="1" applyFont="1" applyAlignment="1">
      <alignment vertical="center"/>
    </xf>
    <xf numFmtId="0" fontId="7" fillId="2" borderId="0" xfId="0" applyFont="1" applyFill="1" applyBorder="1" applyAlignment="1">
      <alignment horizontal="center" vertical="center"/>
    </xf>
    <xf numFmtId="178" fontId="8" fillId="2" borderId="0" xfId="0" applyNumberFormat="1" applyFont="1" applyFill="1" applyBorder="1" applyAlignment="1">
      <alignment horizontal="center" vertical="center"/>
    </xf>
    <xf numFmtId="0" fontId="8" fillId="3" borderId="4" xfId="0" applyFont="1" applyFill="1" applyBorder="1" applyAlignment="1">
      <alignment vertical="center"/>
    </xf>
    <xf numFmtId="0" fontId="8" fillId="2" borderId="0" xfId="0" applyFont="1" applyFill="1" applyAlignment="1">
      <alignment vertical="center"/>
    </xf>
    <xf numFmtId="0" fontId="8" fillId="2" borderId="5" xfId="0" applyFont="1" applyFill="1" applyBorder="1" applyAlignment="1">
      <alignment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8" fillId="2" borderId="8" xfId="0" applyFont="1" applyFill="1" applyBorder="1" applyAlignment="1">
      <alignment vertical="center"/>
    </xf>
    <xf numFmtId="0" fontId="8" fillId="2" borderId="9" xfId="0" applyFont="1" applyFill="1" applyBorder="1" applyAlignment="1">
      <alignment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0" fontId="8" fillId="2" borderId="12" xfId="0" applyFont="1" applyFill="1" applyBorder="1" applyAlignment="1">
      <alignment vertical="center"/>
    </xf>
    <xf numFmtId="184" fontId="4" fillId="4" borderId="13" xfId="0" applyNumberFormat="1" applyFont="1" applyFill="1" applyBorder="1" applyAlignment="1">
      <alignment vertical="center"/>
    </xf>
    <xf numFmtId="176" fontId="4" fillId="4" borderId="13" xfId="0" applyNumberFormat="1" applyFont="1" applyFill="1" applyBorder="1" applyAlignment="1">
      <alignment vertical="center"/>
    </xf>
    <xf numFmtId="0" fontId="4" fillId="4" borderId="13" xfId="0" applyNumberFormat="1" applyFont="1" applyFill="1" applyBorder="1" applyAlignment="1">
      <alignment horizontal="center" vertical="center"/>
    </xf>
    <xf numFmtId="176" fontId="9" fillId="0" borderId="0" xfId="0" applyNumberFormat="1" applyFont="1" applyAlignment="1">
      <alignment vertical="center"/>
    </xf>
    <xf numFmtId="185" fontId="4" fillId="4" borderId="13" xfId="0" applyNumberFormat="1" applyFont="1" applyFill="1" applyBorder="1" applyAlignment="1">
      <alignment vertical="center"/>
    </xf>
    <xf numFmtId="0" fontId="8" fillId="0" borderId="0" xfId="0" applyFont="1" applyAlignment="1">
      <alignment vertical="center"/>
    </xf>
    <xf numFmtId="0" fontId="4" fillId="0" borderId="0" xfId="0" applyFont="1" applyFill="1" applyAlignment="1">
      <alignment vertical="center"/>
    </xf>
    <xf numFmtId="185" fontId="4" fillId="0" borderId="0" xfId="0" applyNumberFormat="1" applyFont="1" applyFill="1" applyBorder="1" applyAlignment="1">
      <alignment vertical="center"/>
    </xf>
    <xf numFmtId="185" fontId="4" fillId="4" borderId="13" xfId="0" applyNumberFormat="1" applyFont="1" applyFill="1" applyBorder="1" applyAlignment="1">
      <alignment horizontal="center" vertical="center"/>
    </xf>
    <xf numFmtId="0" fontId="4" fillId="4" borderId="13" xfId="0" applyFont="1" applyFill="1" applyBorder="1" applyAlignment="1">
      <alignment horizontal="center" vertical="center"/>
    </xf>
    <xf numFmtId="178" fontId="4" fillId="4" borderId="13" xfId="0" applyNumberFormat="1" applyFont="1" applyFill="1" applyBorder="1" applyAlignment="1">
      <alignment horizontal="center" vertical="center"/>
    </xf>
    <xf numFmtId="176" fontId="10" fillId="0" borderId="0" xfId="0" applyNumberFormat="1" applyFont="1" applyAlignment="1">
      <alignment vertical="center"/>
    </xf>
    <xf numFmtId="0" fontId="8" fillId="2" borderId="14" xfId="0" applyFont="1" applyFill="1" applyBorder="1" applyAlignment="1">
      <alignment vertical="center"/>
    </xf>
    <xf numFmtId="0" fontId="8" fillId="2" borderId="15" xfId="0" applyFont="1" applyFill="1" applyBorder="1" applyAlignment="1">
      <alignment vertical="center"/>
    </xf>
    <xf numFmtId="0" fontId="8" fillId="5" borderId="4" xfId="0" applyFont="1" applyFill="1" applyBorder="1" applyAlignment="1">
      <alignment vertical="center"/>
    </xf>
    <xf numFmtId="0" fontId="4" fillId="0" borderId="0" xfId="0" applyFont="1" applyAlignment="1">
      <alignment horizontal="center" vertical="center"/>
    </xf>
    <xf numFmtId="176" fontId="4" fillId="0" borderId="0" xfId="0" applyNumberFormat="1" applyFont="1" applyAlignment="1">
      <alignment horizontal="center" vertical="center"/>
    </xf>
    <xf numFmtId="176" fontId="4" fillId="0" borderId="0" xfId="0" applyNumberFormat="1" applyFont="1" applyAlignment="1">
      <alignment vertical="center"/>
    </xf>
    <xf numFmtId="0" fontId="10" fillId="0" borderId="0" xfId="0" applyFont="1" applyAlignment="1">
      <alignment vertical="center"/>
    </xf>
    <xf numFmtId="0" fontId="4" fillId="3" borderId="4" xfId="0" applyFont="1" applyFill="1" applyBorder="1" applyAlignment="1">
      <alignment vertical="center"/>
    </xf>
    <xf numFmtId="0" fontId="4" fillId="3" borderId="16" xfId="0" applyFont="1" applyFill="1" applyBorder="1" applyAlignment="1">
      <alignment horizontal="center" vertical="center"/>
    </xf>
    <xf numFmtId="0" fontId="7" fillId="0" borderId="0" xfId="0" applyFont="1" applyFill="1" applyBorder="1" applyAlignment="1">
      <alignment horizontal="center" vertical="center"/>
    </xf>
    <xf numFmtId="178" fontId="8" fillId="0" borderId="0" xfId="0" applyNumberFormat="1" applyFont="1" applyFill="1" applyBorder="1" applyAlignment="1" applyProtection="1">
      <alignment horizontal="center" vertical="center"/>
      <protection/>
    </xf>
    <xf numFmtId="0" fontId="5" fillId="0" borderId="0" xfId="0" applyFont="1" applyAlignment="1">
      <alignment vertical="center"/>
    </xf>
    <xf numFmtId="0" fontId="8" fillId="3" borderId="17" xfId="0" applyFont="1" applyFill="1" applyBorder="1" applyAlignment="1">
      <alignment vertical="center"/>
    </xf>
    <xf numFmtId="0" fontId="8" fillId="3" borderId="18" xfId="0" applyFont="1" applyFill="1" applyBorder="1" applyAlignment="1">
      <alignment vertical="center"/>
    </xf>
    <xf numFmtId="0" fontId="8" fillId="5" borderId="18" xfId="0" applyFont="1" applyFill="1" applyBorder="1" applyAlignment="1">
      <alignment vertical="center"/>
    </xf>
    <xf numFmtId="0" fontId="12" fillId="0" borderId="0" xfId="0" applyFont="1" applyAlignment="1">
      <alignment vertical="center"/>
    </xf>
    <xf numFmtId="176" fontId="4" fillId="0" borderId="19" xfId="0" applyNumberFormat="1" applyFont="1" applyBorder="1" applyAlignment="1">
      <alignment horizontal="right" vertical="center"/>
    </xf>
    <xf numFmtId="176" fontId="4" fillId="0" borderId="19" xfId="0" applyNumberFormat="1" applyFont="1" applyBorder="1" applyAlignment="1">
      <alignment horizontal="right" vertical="center" wrapText="1"/>
    </xf>
    <xf numFmtId="176" fontId="4" fillId="0" borderId="20" xfId="0" applyNumberFormat="1" applyFont="1" applyBorder="1" applyAlignment="1">
      <alignment horizontal="right" vertical="center"/>
    </xf>
    <xf numFmtId="176" fontId="4" fillId="0" borderId="3" xfId="0" applyNumberFormat="1" applyFont="1" applyBorder="1" applyAlignment="1">
      <alignment horizontal="right" vertical="center"/>
    </xf>
    <xf numFmtId="176" fontId="4" fillId="0" borderId="0" xfId="0" applyNumberFormat="1" applyFont="1" applyAlignment="1">
      <alignment horizontal="right" vertical="center"/>
    </xf>
    <xf numFmtId="0" fontId="4" fillId="3" borderId="21" xfId="0" applyFont="1" applyFill="1" applyBorder="1" applyAlignment="1">
      <alignment vertical="center"/>
    </xf>
    <xf numFmtId="0" fontId="4" fillId="5" borderId="21" xfId="0" applyFont="1" applyFill="1" applyBorder="1" applyAlignment="1">
      <alignment vertical="center"/>
    </xf>
    <xf numFmtId="178" fontId="5" fillId="4" borderId="13" xfId="0" applyNumberFormat="1" applyFont="1" applyFill="1" applyBorder="1" applyAlignment="1" applyProtection="1">
      <alignment horizontal="center" vertical="center"/>
      <protection/>
    </xf>
    <xf numFmtId="0" fontId="9" fillId="0" borderId="0" xfId="0" applyFont="1" applyAlignment="1">
      <alignment vertical="center"/>
    </xf>
    <xf numFmtId="0" fontId="9" fillId="0" borderId="0" xfId="0" applyNumberFormat="1" applyFont="1" applyAlignment="1">
      <alignment vertical="center"/>
    </xf>
    <xf numFmtId="176" fontId="4" fillId="4" borderId="22" xfId="17" applyNumberFormat="1" applyFont="1" applyFill="1" applyBorder="1" applyAlignment="1">
      <alignment horizontal="right" vertical="center"/>
    </xf>
    <xf numFmtId="176" fontId="4" fillId="4" borderId="23" xfId="17" applyNumberFormat="1" applyFont="1" applyFill="1" applyBorder="1" applyAlignment="1">
      <alignment horizontal="right" vertical="center"/>
    </xf>
    <xf numFmtId="176" fontId="4" fillId="4" borderId="24" xfId="17" applyNumberFormat="1" applyFont="1" applyFill="1" applyBorder="1" applyAlignment="1">
      <alignment horizontal="right" vertical="center"/>
    </xf>
    <xf numFmtId="176" fontId="4" fillId="4" borderId="13" xfId="17" applyNumberFormat="1" applyFont="1" applyFill="1" applyBorder="1" applyAlignment="1">
      <alignment horizontal="right" vertical="center"/>
    </xf>
    <xf numFmtId="0" fontId="4" fillId="0" borderId="0" xfId="0" applyFont="1" applyAlignment="1">
      <alignment horizontal="right" vertical="center"/>
    </xf>
    <xf numFmtId="176" fontId="4" fillId="0" borderId="25" xfId="0" applyNumberFormat="1" applyFont="1" applyFill="1" applyBorder="1" applyAlignment="1">
      <alignment vertical="center"/>
    </xf>
    <xf numFmtId="0" fontId="4" fillId="3" borderId="21" xfId="0" applyFont="1" applyFill="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176" fontId="4" fillId="0" borderId="25" xfId="0" applyNumberFormat="1" applyFont="1" applyBorder="1" applyAlignment="1">
      <alignment horizontal="right" vertical="center"/>
    </xf>
    <xf numFmtId="176" fontId="4" fillId="0" borderId="25" xfId="0" applyNumberFormat="1" applyFont="1" applyBorder="1" applyAlignment="1">
      <alignment vertical="center"/>
    </xf>
    <xf numFmtId="49" fontId="4" fillId="0" borderId="0" xfId="0" applyNumberFormat="1" applyFont="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Alignment="1">
      <alignment horizontal="left" vertical="center"/>
    </xf>
    <xf numFmtId="186" fontId="4" fillId="0" borderId="0" xfId="0" applyNumberFormat="1" applyFont="1" applyAlignment="1">
      <alignment vertical="center"/>
    </xf>
    <xf numFmtId="0" fontId="7" fillId="0" borderId="0" xfId="0" applyFont="1" applyAlignment="1">
      <alignment vertical="center"/>
    </xf>
    <xf numFmtId="0" fontId="4" fillId="0" borderId="28" xfId="0" applyFont="1" applyBorder="1" applyAlignment="1">
      <alignment vertical="center"/>
    </xf>
    <xf numFmtId="0" fontId="0" fillId="0" borderId="0" xfId="0" applyAlignment="1">
      <alignment vertical="center"/>
    </xf>
    <xf numFmtId="176" fontId="4" fillId="0" borderId="0" xfId="0" applyNumberFormat="1" applyFont="1" applyBorder="1" applyAlignment="1">
      <alignment vertical="center"/>
    </xf>
    <xf numFmtId="184" fontId="4" fillId="4" borderId="29" xfId="0" applyNumberFormat="1" applyFont="1" applyFill="1" applyBorder="1" applyAlignment="1">
      <alignment vertical="center"/>
    </xf>
    <xf numFmtId="0" fontId="4" fillId="4" borderId="13" xfId="0" applyNumberFormat="1" applyFont="1" applyFill="1" applyBorder="1" applyAlignment="1" applyProtection="1">
      <alignment horizontal="center" vertical="center"/>
      <protection/>
    </xf>
    <xf numFmtId="176" fontId="4" fillId="0" borderId="30" xfId="0" applyNumberFormat="1" applyFont="1" applyBorder="1" applyAlignment="1">
      <alignment horizontal="right" vertical="center"/>
    </xf>
    <xf numFmtId="176" fontId="4" fillId="0" borderId="31" xfId="0" applyNumberFormat="1" applyFont="1" applyBorder="1" applyAlignment="1">
      <alignment horizontal="right" vertical="center"/>
    </xf>
    <xf numFmtId="0" fontId="4" fillId="0" borderId="32" xfId="0" applyFont="1" applyBorder="1" applyAlignment="1">
      <alignment horizontal="center" vertical="center"/>
    </xf>
    <xf numFmtId="0" fontId="0" fillId="0" borderId="33" xfId="0" applyBorder="1" applyAlignment="1">
      <alignment vertical="center"/>
    </xf>
    <xf numFmtId="0" fontId="4" fillId="0" borderId="26" xfId="0" applyFont="1" applyBorder="1" applyAlignment="1">
      <alignment vertical="center" wrapText="1"/>
    </xf>
    <xf numFmtId="0" fontId="4" fillId="0" borderId="1" xfId="0" applyFont="1" applyBorder="1" applyAlignment="1">
      <alignment vertical="center" wrapText="1"/>
    </xf>
    <xf numFmtId="0" fontId="9" fillId="0" borderId="0" xfId="0" applyFont="1" applyAlignment="1">
      <alignment horizontal="left"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vertical="center"/>
    </xf>
    <xf numFmtId="176" fontId="4" fillId="0" borderId="38" xfId="0" applyNumberFormat="1" applyFont="1" applyBorder="1" applyAlignment="1">
      <alignment horizontal="right" vertical="center"/>
    </xf>
    <xf numFmtId="0" fontId="4" fillId="0" borderId="30" xfId="0" applyFont="1" applyBorder="1" applyAlignment="1">
      <alignment horizontal="right" vertical="center"/>
    </xf>
    <xf numFmtId="176" fontId="6" fillId="6" borderId="39" xfId="0" applyNumberFormat="1" applyFont="1" applyFill="1" applyBorder="1" applyAlignment="1">
      <alignment vertical="center"/>
    </xf>
    <xf numFmtId="0" fontId="0" fillId="0" borderId="39" xfId="0" applyBorder="1" applyAlignment="1">
      <alignment vertical="center"/>
    </xf>
    <xf numFmtId="0" fontId="4" fillId="0" borderId="0" xfId="0" applyFont="1" applyAlignment="1">
      <alignment horizontal="left" vertical="center"/>
    </xf>
    <xf numFmtId="0" fontId="4" fillId="0" borderId="0" xfId="0" applyFont="1" applyBorder="1" applyAlignment="1">
      <alignment vertical="center"/>
    </xf>
    <xf numFmtId="0" fontId="8" fillId="0" borderId="0" xfId="0" applyFont="1" applyBorder="1" applyAlignment="1">
      <alignment vertical="center"/>
    </xf>
    <xf numFmtId="184" fontId="8" fillId="0" borderId="40" xfId="0" applyNumberFormat="1" applyFont="1" applyBorder="1" applyAlignment="1">
      <alignment vertical="center"/>
    </xf>
    <xf numFmtId="176" fontId="4" fillId="4" borderId="29" xfId="0" applyNumberFormat="1" applyFont="1" applyFill="1" applyBorder="1" applyAlignment="1">
      <alignment vertical="center"/>
    </xf>
    <xf numFmtId="176" fontId="4" fillId="4" borderId="40" xfId="0" applyNumberFormat="1" applyFont="1" applyFill="1" applyBorder="1" applyAlignment="1">
      <alignment vertical="center"/>
    </xf>
    <xf numFmtId="176" fontId="4" fillId="0" borderId="0" xfId="0" applyNumberFormat="1" applyFont="1" applyAlignment="1">
      <alignment vertical="center"/>
    </xf>
    <xf numFmtId="176" fontId="4" fillId="0" borderId="1" xfId="0" applyNumberFormat="1" applyFont="1" applyBorder="1" applyAlignment="1">
      <alignment vertical="center"/>
    </xf>
    <xf numFmtId="176" fontId="8" fillId="0" borderId="1" xfId="0" applyNumberFormat="1" applyFont="1" applyBorder="1" applyAlignment="1">
      <alignment vertical="center"/>
    </xf>
    <xf numFmtId="176" fontId="10" fillId="7" borderId="0" xfId="0" applyNumberFormat="1" applyFont="1" applyFill="1" applyBorder="1" applyAlignment="1">
      <alignment horizontal="right" vertical="center"/>
    </xf>
    <xf numFmtId="176" fontId="10" fillId="7" borderId="39" xfId="0" applyNumberFormat="1" applyFont="1" applyFill="1" applyBorder="1" applyAlignment="1">
      <alignment horizontal="right" vertical="center"/>
    </xf>
    <xf numFmtId="176" fontId="4" fillId="0" borderId="25" xfId="0" applyNumberFormat="1" applyFont="1" applyBorder="1" applyAlignment="1">
      <alignment vertical="center"/>
    </xf>
    <xf numFmtId="176" fontId="4" fillId="0" borderId="0" xfId="0" applyNumberFormat="1" applyFont="1" applyFill="1" applyBorder="1" applyAlignment="1">
      <alignment vertical="center"/>
    </xf>
    <xf numFmtId="176" fontId="13" fillId="8" borderId="39" xfId="0" applyNumberFormat="1" applyFont="1" applyFill="1" applyBorder="1" applyAlignment="1">
      <alignment horizontal="right" vertical="center"/>
    </xf>
    <xf numFmtId="0" fontId="0" fillId="0" borderId="39" xfId="0"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11</xdr:row>
      <xdr:rowOff>38100</xdr:rowOff>
    </xdr:from>
    <xdr:to>
      <xdr:col>9</xdr:col>
      <xdr:colOff>657225</xdr:colOff>
      <xdr:row>20</xdr:row>
      <xdr:rowOff>361950</xdr:rowOff>
    </xdr:to>
    <xdr:sp>
      <xdr:nvSpPr>
        <xdr:cNvPr id="1" name="AutoShape 1"/>
        <xdr:cNvSpPr>
          <a:spLocks/>
        </xdr:cNvSpPr>
      </xdr:nvSpPr>
      <xdr:spPr>
        <a:xfrm>
          <a:off x="10658475" y="2695575"/>
          <a:ext cx="428625" cy="3790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352425</xdr:colOff>
      <xdr:row>26</xdr:row>
      <xdr:rowOff>95250</xdr:rowOff>
    </xdr:from>
    <xdr:to>
      <xdr:col>5</xdr:col>
      <xdr:colOff>447675</xdr:colOff>
      <xdr:row>27</xdr:row>
      <xdr:rowOff>447675</xdr:rowOff>
    </xdr:to>
    <xdr:sp>
      <xdr:nvSpPr>
        <xdr:cNvPr id="2" name="AutoShape 4"/>
        <xdr:cNvSpPr>
          <a:spLocks/>
        </xdr:cNvSpPr>
      </xdr:nvSpPr>
      <xdr:spPr>
        <a:xfrm rot="10800000" flipH="1">
          <a:off x="4962525" y="8639175"/>
          <a:ext cx="1247775" cy="628650"/>
        </a:xfrm>
        <a:prstGeom prst="bentArrow">
          <a:avLst>
            <a:gd name="adj1" fmla="val 7532"/>
            <a:gd name="adj2" fmla="val -4000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31</xdr:row>
      <xdr:rowOff>295275</xdr:rowOff>
    </xdr:from>
    <xdr:to>
      <xdr:col>7</xdr:col>
      <xdr:colOff>495300</xdr:colOff>
      <xdr:row>32</xdr:row>
      <xdr:rowOff>257175</xdr:rowOff>
    </xdr:to>
    <xdr:sp>
      <xdr:nvSpPr>
        <xdr:cNvPr id="3" name="AutoShape 5"/>
        <xdr:cNvSpPr>
          <a:spLocks/>
        </xdr:cNvSpPr>
      </xdr:nvSpPr>
      <xdr:spPr>
        <a:xfrm>
          <a:off x="8143875" y="10487025"/>
          <a:ext cx="419100" cy="4000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5"/>
  </sheetPr>
  <dimension ref="A1:P55"/>
  <sheetViews>
    <sheetView showGridLines="0" tabSelected="1" view="pageBreakPreview" zoomScale="75" zoomScaleNormal="75" zoomScaleSheetLayoutView="75" workbookViewId="0" topLeftCell="A1">
      <selection activeCell="A7" sqref="A7"/>
    </sheetView>
  </sheetViews>
  <sheetFormatPr defaultColWidth="9.00390625" defaultRowHeight="13.5"/>
  <cols>
    <col min="1" max="7" width="15.125" style="1" customWidth="1"/>
    <col min="8" max="8" width="7.50390625" style="1" customWidth="1"/>
    <col min="9" max="9" width="23.50390625" style="1" customWidth="1"/>
    <col min="10" max="16384" width="9.00390625" style="1" customWidth="1"/>
  </cols>
  <sheetData>
    <row r="1" ht="24">
      <c r="A1" s="44" t="s">
        <v>29</v>
      </c>
    </row>
    <row r="2" spans="1:15" ht="18.75">
      <c r="A2" s="2" t="s">
        <v>0</v>
      </c>
      <c r="B2" s="2"/>
      <c r="C2" s="2"/>
      <c r="D2" s="2"/>
      <c r="E2" s="2"/>
      <c r="F2" s="2"/>
      <c r="G2" s="2"/>
      <c r="H2" s="2"/>
      <c r="I2" s="2"/>
      <c r="J2" s="2"/>
      <c r="K2" s="2"/>
      <c r="L2" s="2"/>
      <c r="M2" s="2"/>
      <c r="N2" s="2"/>
      <c r="O2" s="2"/>
    </row>
    <row r="3" spans="1:15" ht="18.75">
      <c r="A3" s="2"/>
      <c r="B3" s="2"/>
      <c r="C3" s="2"/>
      <c r="D3" s="2"/>
      <c r="E3" s="2"/>
      <c r="F3" s="2"/>
      <c r="G3" s="2"/>
      <c r="H3" s="2"/>
      <c r="I3" s="2"/>
      <c r="J3" s="2"/>
      <c r="K3" s="2"/>
      <c r="L3" s="2"/>
      <c r="M3" s="2"/>
      <c r="N3" s="2"/>
      <c r="O3" s="2"/>
    </row>
    <row r="4" spans="1:15" ht="18.75">
      <c r="A4" s="2" t="s">
        <v>43</v>
      </c>
      <c r="B4" s="2"/>
      <c r="C4" s="2"/>
      <c r="D4" s="2"/>
      <c r="E4" s="2"/>
      <c r="F4" s="2"/>
      <c r="G4" s="2"/>
      <c r="H4" s="2"/>
      <c r="I4" s="2"/>
      <c r="J4" s="2"/>
      <c r="K4" s="2"/>
      <c r="L4" s="2"/>
      <c r="M4" s="2"/>
      <c r="N4" s="2"/>
      <c r="O4" s="2"/>
    </row>
    <row r="5" spans="1:15" ht="18.75">
      <c r="A5" s="2" t="s">
        <v>44</v>
      </c>
      <c r="B5" s="2"/>
      <c r="C5" s="2"/>
      <c r="D5" s="2"/>
      <c r="E5" s="2"/>
      <c r="F5" s="2"/>
      <c r="G5" s="2"/>
      <c r="H5" s="2"/>
      <c r="I5" s="2"/>
      <c r="J5" s="2"/>
      <c r="K5" s="2"/>
      <c r="L5" s="2"/>
      <c r="M5" s="2"/>
      <c r="N5" s="2"/>
      <c r="O5" s="2"/>
    </row>
    <row r="6" ht="18.75">
      <c r="A6" s="1" t="s">
        <v>113</v>
      </c>
    </row>
    <row r="8" ht="19.5" thickBot="1">
      <c r="A8" s="53" t="s">
        <v>48</v>
      </c>
    </row>
    <row r="9" spans="7:13" ht="20.25" thickBot="1" thickTop="1">
      <c r="G9" s="92" t="s">
        <v>1</v>
      </c>
      <c r="H9" s="93"/>
      <c r="I9" s="61">
        <v>2</v>
      </c>
      <c r="K9" s="3"/>
      <c r="L9" s="3"/>
      <c r="M9" s="3"/>
    </row>
    <row r="10" spans="7:13" ht="18.75">
      <c r="G10" s="3" t="s">
        <v>47</v>
      </c>
      <c r="H10" s="47"/>
      <c r="I10" s="48"/>
      <c r="J10" s="3"/>
      <c r="K10" s="3"/>
      <c r="L10" s="3"/>
      <c r="M10" s="3"/>
    </row>
    <row r="11" spans="7:13" ht="19.5" thickBot="1">
      <c r="G11" s="49" t="s">
        <v>2</v>
      </c>
      <c r="H11" s="14"/>
      <c r="I11" s="15"/>
      <c r="K11" s="3"/>
      <c r="L11" s="3"/>
      <c r="M11" s="3"/>
    </row>
    <row r="12" spans="1:16" s="4" customFormat="1" ht="30" customHeight="1" thickBot="1">
      <c r="A12" s="59" t="s">
        <v>3</v>
      </c>
      <c r="B12" s="16"/>
      <c r="C12" s="16"/>
      <c r="D12" s="16"/>
      <c r="E12" s="16"/>
      <c r="F12" s="16"/>
      <c r="G12" s="16"/>
      <c r="H12" s="16"/>
      <c r="I12" s="50"/>
      <c r="J12" s="17"/>
      <c r="K12" s="17"/>
      <c r="L12" s="17"/>
      <c r="M12" s="17"/>
      <c r="N12" s="17"/>
      <c r="O12" s="17"/>
      <c r="P12" s="17"/>
    </row>
    <row r="13" spans="1:16" s="4" customFormat="1" ht="30" customHeight="1" thickTop="1">
      <c r="A13" s="18" t="s">
        <v>4</v>
      </c>
      <c r="B13" s="19"/>
      <c r="C13" s="19"/>
      <c r="D13" s="19"/>
      <c r="E13" s="19"/>
      <c r="F13" s="19"/>
      <c r="G13" s="19"/>
      <c r="H13" s="19"/>
      <c r="I13" s="64">
        <v>0</v>
      </c>
      <c r="J13" s="17"/>
      <c r="K13" s="17"/>
      <c r="L13" s="17"/>
      <c r="M13" s="17"/>
      <c r="N13" s="17"/>
      <c r="O13" s="17"/>
      <c r="P13" s="17"/>
    </row>
    <row r="14" spans="1:16" s="4" customFormat="1" ht="31.5" customHeight="1">
      <c r="A14" s="94" t="s">
        <v>5</v>
      </c>
      <c r="B14" s="95"/>
      <c r="C14" s="95"/>
      <c r="D14" s="95"/>
      <c r="E14" s="95"/>
      <c r="F14" s="95"/>
      <c r="G14" s="95"/>
      <c r="H14" s="95"/>
      <c r="I14" s="65">
        <v>0</v>
      </c>
      <c r="J14" s="17"/>
      <c r="K14" s="17"/>
      <c r="L14" s="17"/>
      <c r="M14" s="17"/>
      <c r="N14" s="17"/>
      <c r="O14" s="17"/>
      <c r="P14" s="17"/>
    </row>
    <row r="15" spans="1:16" s="4" customFormat="1" ht="31.5" customHeight="1">
      <c r="A15" s="94" t="s">
        <v>6</v>
      </c>
      <c r="B15" s="95"/>
      <c r="C15" s="95"/>
      <c r="D15" s="95"/>
      <c r="E15" s="95"/>
      <c r="F15" s="95"/>
      <c r="G15" s="95"/>
      <c r="H15" s="95"/>
      <c r="I15" s="65">
        <v>0</v>
      </c>
      <c r="J15" s="17"/>
      <c r="K15" s="17"/>
      <c r="L15" s="17"/>
      <c r="M15" s="17"/>
      <c r="N15" s="17"/>
      <c r="O15" s="17"/>
      <c r="P15" s="17"/>
    </row>
    <row r="16" spans="1:16" s="4" customFormat="1" ht="30" customHeight="1" thickBot="1">
      <c r="A16" s="20" t="s">
        <v>46</v>
      </c>
      <c r="B16" s="21"/>
      <c r="C16" s="21"/>
      <c r="D16" s="21"/>
      <c r="E16" s="21"/>
      <c r="F16" s="21"/>
      <c r="G16" s="21"/>
      <c r="H16" s="21"/>
      <c r="I16" s="66">
        <v>0</v>
      </c>
      <c r="J16" s="17"/>
      <c r="K16" s="17"/>
      <c r="L16" s="17"/>
      <c r="M16" s="17"/>
      <c r="N16" s="17"/>
      <c r="O16" s="17"/>
      <c r="P16" s="17"/>
    </row>
    <row r="17" spans="1:16" s="4" customFormat="1" ht="30" customHeight="1" thickBot="1" thickTop="1">
      <c r="A17" s="59" t="s">
        <v>24</v>
      </c>
      <c r="B17" s="16"/>
      <c r="C17" s="16"/>
      <c r="D17" s="16"/>
      <c r="E17" s="16"/>
      <c r="F17" s="16"/>
      <c r="G17" s="16"/>
      <c r="H17" s="16"/>
      <c r="I17" s="51"/>
      <c r="J17" s="17"/>
      <c r="K17" s="17"/>
      <c r="L17" s="17"/>
      <c r="M17" s="17"/>
      <c r="N17" s="17"/>
      <c r="O17" s="17"/>
      <c r="P17" s="17"/>
    </row>
    <row r="18" spans="1:16" s="4" customFormat="1" ht="30" customHeight="1" thickBot="1" thickTop="1">
      <c r="A18" s="38" t="s">
        <v>39</v>
      </c>
      <c r="B18" s="39"/>
      <c r="C18" s="39"/>
      <c r="D18" s="39"/>
      <c r="E18" s="39"/>
      <c r="F18" s="39"/>
      <c r="G18" s="39"/>
      <c r="H18" s="39"/>
      <c r="I18" s="67">
        <v>83000</v>
      </c>
      <c r="J18" s="17"/>
      <c r="K18" s="17"/>
      <c r="L18" s="17"/>
      <c r="M18" s="17"/>
      <c r="N18" s="17"/>
      <c r="O18" s="17"/>
      <c r="P18" s="17"/>
    </row>
    <row r="19" spans="1:16" s="4" customFormat="1" ht="30" customHeight="1" thickBot="1" thickTop="1">
      <c r="A19" s="60" t="s">
        <v>7</v>
      </c>
      <c r="B19" s="40"/>
      <c r="C19" s="40"/>
      <c r="D19" s="40"/>
      <c r="E19" s="40"/>
      <c r="F19" s="40"/>
      <c r="G19" s="40"/>
      <c r="H19" s="40"/>
      <c r="I19" s="52"/>
      <c r="J19" s="17"/>
      <c r="K19" s="17"/>
      <c r="L19" s="17"/>
      <c r="M19" s="17"/>
      <c r="N19" s="17"/>
      <c r="O19" s="17"/>
      <c r="P19" s="17"/>
    </row>
    <row r="20" spans="1:16" s="4" customFormat="1" ht="30" customHeight="1" thickTop="1">
      <c r="A20" s="22" t="s">
        <v>8</v>
      </c>
      <c r="B20" s="23"/>
      <c r="C20" s="23"/>
      <c r="D20" s="23"/>
      <c r="E20" s="23"/>
      <c r="F20" s="23"/>
      <c r="G20" s="23"/>
      <c r="H20" s="23"/>
      <c r="I20" s="64">
        <v>0</v>
      </c>
      <c r="J20" s="17"/>
      <c r="K20" s="17"/>
      <c r="L20" s="17"/>
      <c r="M20" s="17"/>
      <c r="N20" s="17"/>
      <c r="O20" s="17"/>
      <c r="P20" s="17"/>
    </row>
    <row r="21" spans="1:16" s="4" customFormat="1" ht="30" customHeight="1" thickBot="1">
      <c r="A21" s="24" t="s">
        <v>9</v>
      </c>
      <c r="B21" s="25"/>
      <c r="C21" s="25"/>
      <c r="D21" s="25"/>
      <c r="E21" s="25"/>
      <c r="F21" s="25"/>
      <c r="G21" s="25"/>
      <c r="H21" s="25"/>
      <c r="I21" s="66">
        <v>0</v>
      </c>
      <c r="J21" s="17"/>
      <c r="K21" s="17"/>
      <c r="L21" s="17"/>
      <c r="M21" s="17"/>
      <c r="N21" s="17"/>
      <c r="O21" s="17"/>
      <c r="P21" s="17"/>
    </row>
    <row r="22" ht="19.5" thickBot="1"/>
    <row r="23" spans="1:9" ht="28.5" customHeight="1">
      <c r="A23" s="70" t="s">
        <v>10</v>
      </c>
      <c r="B23" s="45"/>
      <c r="C23" s="45"/>
      <c r="D23" s="45"/>
      <c r="E23" s="45"/>
      <c r="F23" s="45"/>
      <c r="G23" s="45"/>
      <c r="H23" s="45"/>
      <c r="I23" s="46" t="s">
        <v>11</v>
      </c>
    </row>
    <row r="24" spans="1:9" ht="37.5" customHeight="1">
      <c r="A24" s="71" t="s">
        <v>25</v>
      </c>
      <c r="B24" s="5"/>
      <c r="C24" s="5"/>
      <c r="D24" s="5"/>
      <c r="E24" s="5"/>
      <c r="F24" s="5"/>
      <c r="G24" s="5"/>
      <c r="H24" s="5"/>
      <c r="I24" s="54">
        <v>25000</v>
      </c>
    </row>
    <row r="25" spans="1:13" s="4" customFormat="1" ht="37.5" customHeight="1">
      <c r="A25" s="89" t="s">
        <v>45</v>
      </c>
      <c r="B25" s="90"/>
      <c r="C25" s="90"/>
      <c r="D25" s="90"/>
      <c r="E25" s="90"/>
      <c r="F25" s="90"/>
      <c r="G25" s="90"/>
      <c r="H25" s="6"/>
      <c r="I25" s="55">
        <v>28000</v>
      </c>
      <c r="J25" s="7"/>
      <c r="K25" s="7"/>
      <c r="L25" s="7"/>
      <c r="M25" s="7"/>
    </row>
    <row r="26" spans="1:9" ht="37.5" customHeight="1" thickBot="1">
      <c r="A26" s="72" t="s">
        <v>26</v>
      </c>
      <c r="B26" s="8"/>
      <c r="C26" s="8"/>
      <c r="D26" s="8"/>
      <c r="E26" s="8"/>
      <c r="F26" s="8"/>
      <c r="G26" s="8"/>
      <c r="H26" s="8"/>
      <c r="I26" s="56">
        <v>30000</v>
      </c>
    </row>
    <row r="27" spans="1:9" ht="21.75" customHeight="1" thickBot="1">
      <c r="A27" s="9"/>
      <c r="B27" s="9"/>
      <c r="C27" s="9"/>
      <c r="D27" s="9"/>
      <c r="E27" s="9"/>
      <c r="F27" s="9"/>
      <c r="G27" s="9"/>
      <c r="H27" s="9"/>
      <c r="I27" s="10"/>
    </row>
    <row r="28" spans="1:8" ht="37.5" customHeight="1" thickBot="1" thickTop="1">
      <c r="A28" s="9"/>
      <c r="B28" s="9"/>
      <c r="C28" s="9"/>
      <c r="D28" s="9"/>
      <c r="E28" s="9"/>
      <c r="F28" s="9"/>
      <c r="G28" s="28">
        <v>2</v>
      </c>
      <c r="H28" s="1" t="s">
        <v>42</v>
      </c>
    </row>
    <row r="29" spans="1:7" ht="37.5" customHeight="1" thickTop="1">
      <c r="A29" s="9"/>
      <c r="B29" s="9"/>
      <c r="C29" s="9"/>
      <c r="D29" s="98" t="s">
        <v>10</v>
      </c>
      <c r="E29" s="98"/>
      <c r="F29" s="98"/>
      <c r="G29" s="10">
        <f>IF(G28=1,25000,IF(G28=2,28000,IF(G28=3,30000,0)))</f>
        <v>28000</v>
      </c>
    </row>
    <row r="31" spans="1:3" ht="19.5" thickBot="1">
      <c r="A31" s="91" t="s">
        <v>73</v>
      </c>
      <c r="B31" s="91"/>
      <c r="C31" s="91"/>
    </row>
    <row r="32" spans="2:9" ht="34.5" customHeight="1" thickBot="1">
      <c r="B32" s="96" t="s">
        <v>12</v>
      </c>
      <c r="C32" s="97"/>
      <c r="D32" s="87" t="s">
        <v>13</v>
      </c>
      <c r="E32" s="97"/>
      <c r="F32" s="87" t="s">
        <v>14</v>
      </c>
      <c r="G32" s="88"/>
      <c r="I32" s="11" t="s">
        <v>15</v>
      </c>
    </row>
    <row r="33" spans="2:9" ht="34.5" customHeight="1" thickBot="1">
      <c r="B33" s="99">
        <f>SUM(I13:I16)</f>
        <v>0</v>
      </c>
      <c r="C33" s="85"/>
      <c r="D33" s="85">
        <f>SUM(I18:I18)</f>
        <v>83000</v>
      </c>
      <c r="E33" s="100"/>
      <c r="F33" s="85">
        <f>I20+I21</f>
        <v>0</v>
      </c>
      <c r="G33" s="86"/>
      <c r="I33" s="57">
        <f>D33-F33</f>
        <v>83000</v>
      </c>
    </row>
    <row r="34" ht="19.5" thickBot="1"/>
    <row r="35" spans="1:12" ht="30" customHeight="1" thickBot="1" thickTop="1">
      <c r="A35" s="91" t="s">
        <v>74</v>
      </c>
      <c r="B35" s="91"/>
      <c r="C35" s="91"/>
      <c r="D35" s="1" t="s">
        <v>16</v>
      </c>
      <c r="E35" s="27">
        <v>480</v>
      </c>
      <c r="F35" s="77" t="s">
        <v>99</v>
      </c>
      <c r="G35" s="75"/>
      <c r="H35" s="75"/>
      <c r="I35" s="75"/>
      <c r="J35" s="75"/>
      <c r="K35" s="41"/>
      <c r="L35" s="41"/>
    </row>
    <row r="36" spans="4:11" ht="30" customHeight="1" thickTop="1">
      <c r="D36" s="1" t="s">
        <v>11</v>
      </c>
      <c r="F36" s="76"/>
      <c r="G36" s="73">
        <f>ROUNDDOWN(E35*31,0)</f>
        <v>14880</v>
      </c>
      <c r="H36" s="76"/>
      <c r="I36" s="76"/>
      <c r="J36" s="76"/>
      <c r="K36" s="42"/>
    </row>
    <row r="37" ht="12.75" customHeight="1"/>
    <row r="38" ht="30" customHeight="1" thickBot="1">
      <c r="A38" s="62" t="s">
        <v>75</v>
      </c>
    </row>
    <row r="39" spans="2:8" ht="30" customHeight="1" thickBot="1" thickTop="1">
      <c r="B39" s="1" t="s">
        <v>40</v>
      </c>
      <c r="G39" s="26">
        <v>904</v>
      </c>
      <c r="H39" s="1" t="s">
        <v>17</v>
      </c>
    </row>
    <row r="40" ht="16.5" customHeight="1" thickTop="1"/>
    <row r="41" spans="2:8" ht="21.75" customHeight="1">
      <c r="B41" s="1" t="s">
        <v>18</v>
      </c>
      <c r="G41" s="12">
        <f>ROUNDDOWN(IF(AND(I9=1,G39*30.4&gt;15000),15000,IF(AND(I9=2,G39*30.4&gt;24600),24600,IF(AND(I9=1,G39*30.4&lt;15000),G39*30.4,IF(AND(I9=2,G39*30.4&lt;24600),G39*30.4)))),0)</f>
        <v>24600</v>
      </c>
      <c r="H41" s="53"/>
    </row>
    <row r="42" spans="2:9" ht="18.75">
      <c r="B42" s="1" t="s">
        <v>19</v>
      </c>
      <c r="G42" s="73">
        <f>IF(IF(G41+G36+G29&gt;I33,I33-G29-G36,IF(G41+G36+G29&lt;I33,G41,G41))&lt;0,0,IF(G41+G36+G29&gt;I33,I33-G29-G36,IF(G41+G36+G29&lt;I33,G41,G41)))</f>
        <v>24600</v>
      </c>
      <c r="I42" s="78"/>
    </row>
    <row r="43" ht="18.75">
      <c r="G43" s="58"/>
    </row>
    <row r="44" ht="19.5" thickBot="1">
      <c r="A44" s="62" t="s">
        <v>79</v>
      </c>
    </row>
    <row r="45" spans="2:12" ht="36" customHeight="1" thickBot="1" thickTop="1">
      <c r="B45" s="104" t="s">
        <v>21</v>
      </c>
      <c r="C45" s="105"/>
      <c r="D45" s="105"/>
      <c r="E45" s="105"/>
      <c r="F45" s="105"/>
      <c r="G45" s="27">
        <v>414000</v>
      </c>
      <c r="H45" s="80" t="s">
        <v>103</v>
      </c>
      <c r="I45" s="81"/>
      <c r="J45" s="81"/>
      <c r="K45" s="81"/>
      <c r="L45" s="81"/>
    </row>
    <row r="46" ht="19.5" thickTop="1"/>
    <row r="47" spans="2:8" ht="18.75">
      <c r="B47" s="1" t="s">
        <v>22</v>
      </c>
      <c r="G47" s="12">
        <f>ROUNDDOWN(IF(AND(I9=1,G45&gt;150000),15000,IF(AND(I9=2,G45&gt;246000),24600,IF(AND(I9=1,G45&lt;150000),G45/10,IF(AND(I9=2,G45&lt;246000),G45/10)))),0)</f>
        <v>24600</v>
      </c>
      <c r="H47" s="53"/>
    </row>
    <row r="48" spans="2:8" ht="18.75">
      <c r="B48" s="1" t="s">
        <v>20</v>
      </c>
      <c r="G48" s="74">
        <f>IF(IF(I33-G29-G36-G41&gt;G47,G47,I33-G29-G36-G41)&lt;0,0,IF(I33-G29-G36-G41&gt;G47,G47,I33-G29-G36-G41))</f>
        <v>15520</v>
      </c>
      <c r="H48" s="53"/>
    </row>
    <row r="49" ht="39" customHeight="1">
      <c r="A49" s="62" t="s">
        <v>27</v>
      </c>
    </row>
    <row r="50" spans="1:7" ht="42.75" thickBot="1">
      <c r="A50" s="63" t="s">
        <v>23</v>
      </c>
      <c r="B50" s="63"/>
      <c r="C50" s="63"/>
      <c r="D50" s="63"/>
      <c r="E50" s="63"/>
      <c r="F50" s="101">
        <f>IF(G52+G53+G54&gt;0,G52+G53+G54,0)</f>
        <v>55000</v>
      </c>
      <c r="G50" s="102"/>
    </row>
    <row r="51" spans="1:7" ht="19.5" thickTop="1">
      <c r="A51" s="63" t="s">
        <v>28</v>
      </c>
      <c r="B51" s="13"/>
      <c r="C51" s="13"/>
      <c r="D51" s="13"/>
      <c r="E51" s="13"/>
      <c r="F51" s="13"/>
      <c r="G51" s="29"/>
    </row>
    <row r="52" spans="1:7" ht="18.75">
      <c r="A52" s="103" t="s">
        <v>76</v>
      </c>
      <c r="B52" s="103"/>
      <c r="C52" s="103"/>
      <c r="D52" s="103"/>
      <c r="E52" s="103"/>
      <c r="F52" s="103"/>
      <c r="G52" s="29">
        <f>G36</f>
        <v>14880</v>
      </c>
    </row>
    <row r="53" spans="1:7" ht="18.75">
      <c r="A53" s="103" t="s">
        <v>87</v>
      </c>
      <c r="B53" s="103"/>
      <c r="C53" s="103"/>
      <c r="D53" s="103"/>
      <c r="E53" s="103"/>
      <c r="F53" s="103"/>
      <c r="G53" s="29">
        <f>IF(G42&gt;0,G42,0)</f>
        <v>24600</v>
      </c>
    </row>
    <row r="54" spans="1:7" ht="18.75">
      <c r="A54" s="103" t="s">
        <v>88</v>
      </c>
      <c r="B54" s="103"/>
      <c r="C54" s="103"/>
      <c r="D54" s="103"/>
      <c r="E54" s="103"/>
      <c r="F54" s="103"/>
      <c r="G54" s="29">
        <f>G48</f>
        <v>15520</v>
      </c>
    </row>
    <row r="55" ht="18.75">
      <c r="A55" s="1" t="s">
        <v>108</v>
      </c>
    </row>
  </sheetData>
  <mergeCells count="18">
    <mergeCell ref="F50:G50"/>
    <mergeCell ref="A53:F53"/>
    <mergeCell ref="A54:F54"/>
    <mergeCell ref="B45:F45"/>
    <mergeCell ref="A52:F52"/>
    <mergeCell ref="G9:H9"/>
    <mergeCell ref="A15:H15"/>
    <mergeCell ref="A14:H14"/>
    <mergeCell ref="B32:C32"/>
    <mergeCell ref="D32:E32"/>
    <mergeCell ref="D29:F29"/>
    <mergeCell ref="A31:C31"/>
    <mergeCell ref="F33:G33"/>
    <mergeCell ref="F32:G32"/>
    <mergeCell ref="A25:G25"/>
    <mergeCell ref="A35:C35"/>
    <mergeCell ref="B33:C33"/>
    <mergeCell ref="D33:E33"/>
  </mergeCells>
  <dataValidations count="2">
    <dataValidation type="whole" allowBlank="1" showInputMessage="1" showErrorMessage="1" sqref="I9:I10">
      <formula1>1</formula1>
      <formula2>2</formula2>
    </dataValidation>
    <dataValidation type="whole" allowBlank="1" showInputMessage="1" showErrorMessage="1" sqref="G28">
      <formula1>1</formula1>
      <formula2>3</formula2>
    </dataValidation>
  </dataValidations>
  <printOptions/>
  <pageMargins left="0.75" right="0.75" top="1" bottom="1" header="0.512" footer="0.512"/>
  <pageSetup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sheetPr>
    <tabColor indexed="51"/>
    <pageSetUpPr fitToPage="1"/>
  </sheetPr>
  <dimension ref="A1:H26"/>
  <sheetViews>
    <sheetView showGridLines="0" zoomScale="75" zoomScaleNormal="75" workbookViewId="0" topLeftCell="A1">
      <selection activeCell="G1" sqref="G1"/>
    </sheetView>
  </sheetViews>
  <sheetFormatPr defaultColWidth="9.00390625" defaultRowHeight="13.5"/>
  <cols>
    <col min="1" max="4" width="9.00390625" style="1" customWidth="1"/>
    <col min="5" max="5" width="20.625" style="1" customWidth="1"/>
    <col min="6" max="6" width="23.50390625" style="1" customWidth="1"/>
    <col min="7" max="7" width="10.375" style="1" bestFit="1" customWidth="1"/>
    <col min="8" max="8" width="9.375" style="1" customWidth="1"/>
    <col min="9" max="16384" width="9.00390625" style="1" customWidth="1"/>
  </cols>
  <sheetData>
    <row r="1" ht="24">
      <c r="A1" s="44" t="s">
        <v>29</v>
      </c>
    </row>
    <row r="2" ht="18.75">
      <c r="A2" s="1" t="s">
        <v>114</v>
      </c>
    </row>
    <row r="3" ht="18.75">
      <c r="A3" s="53" t="s">
        <v>49</v>
      </c>
    </row>
    <row r="4" ht="19.5" thickBot="1"/>
    <row r="5" spans="1:8" ht="20.25" thickBot="1" thickTop="1">
      <c r="A5" s="1" t="s">
        <v>100</v>
      </c>
      <c r="G5" s="30">
        <v>19</v>
      </c>
      <c r="H5" s="31"/>
    </row>
    <row r="6" ht="15.75" customHeight="1" thickTop="1"/>
    <row r="7" spans="1:8" ht="25.5" customHeight="1" hidden="1">
      <c r="A7" s="1" t="s">
        <v>67</v>
      </c>
      <c r="F7" s="82">
        <f>IF(OR(G5=18,G5=19),54000,IF(G5&lt;18,45000,0))</f>
        <v>54000</v>
      </c>
      <c r="G7" s="82"/>
      <c r="H7" s="1" t="s">
        <v>31</v>
      </c>
    </row>
    <row r="8" spans="1:8" ht="27.75" customHeight="1">
      <c r="A8" s="1" t="s">
        <v>102</v>
      </c>
      <c r="F8" s="114">
        <f>IF(F7=45000,34000,25000)</f>
        <v>25000</v>
      </c>
      <c r="G8" s="114"/>
      <c r="H8" s="1" t="s">
        <v>32</v>
      </c>
    </row>
    <row r="9" ht="30.75" customHeight="1"/>
    <row r="10" ht="29.25" customHeight="1" thickBot="1">
      <c r="A10" s="1" t="s">
        <v>68</v>
      </c>
    </row>
    <row r="11" spans="1:7" ht="31.5" customHeight="1" thickBot="1" thickTop="1">
      <c r="A11" s="1" t="s">
        <v>52</v>
      </c>
      <c r="F11" s="83">
        <v>862</v>
      </c>
      <c r="G11" s="106"/>
    </row>
    <row r="12" ht="24.75" customHeight="1" thickTop="1"/>
    <row r="13" ht="25.5" customHeight="1" thickBot="1">
      <c r="A13" s="1" t="s">
        <v>69</v>
      </c>
    </row>
    <row r="14" spans="1:7" ht="28.5" customHeight="1" thickBot="1" thickTop="1">
      <c r="A14" s="1" t="s">
        <v>53</v>
      </c>
      <c r="F14" s="107">
        <v>400000</v>
      </c>
      <c r="G14" s="108"/>
    </row>
    <row r="15" ht="48.75" customHeight="1" thickTop="1"/>
    <row r="16" spans="1:8" ht="30.75" customHeight="1">
      <c r="A16" s="1" t="s">
        <v>70</v>
      </c>
      <c r="F16" s="114">
        <f>ROUNDDOWN(IF(F11*30.4&gt;37200,37200,F11*30.4),0)</f>
        <v>26204</v>
      </c>
      <c r="G16" s="114"/>
      <c r="H16" s="1" t="s">
        <v>31</v>
      </c>
    </row>
    <row r="17" spans="1:8" ht="29.25" customHeight="1">
      <c r="A17" s="1" t="s">
        <v>71</v>
      </c>
      <c r="F17" s="110">
        <f>ROUNDDOWN(IF(F14/10&gt;40200,40200,F14/10),0)</f>
        <v>40000</v>
      </c>
      <c r="G17" s="111"/>
      <c r="H17" s="1" t="s">
        <v>105</v>
      </c>
    </row>
    <row r="18" ht="39.75" customHeight="1"/>
    <row r="19" ht="29.25" customHeight="1">
      <c r="A19" s="62" t="s">
        <v>104</v>
      </c>
    </row>
    <row r="20" spans="1:7" ht="18.75">
      <c r="A20" s="1" t="s">
        <v>85</v>
      </c>
      <c r="F20" s="109">
        <f>F16</f>
        <v>26204</v>
      </c>
      <c r="G20" s="109"/>
    </row>
    <row r="21" spans="1:7" ht="18.75">
      <c r="A21" s="1" t="s">
        <v>86</v>
      </c>
      <c r="F21" s="109">
        <f>IF(F16+F17+F8&gt;79000,79000-F8-F16,F17)</f>
        <v>27796</v>
      </c>
      <c r="G21" s="109"/>
    </row>
    <row r="22" spans="1:7" ht="18.75">
      <c r="A22" s="1" t="s">
        <v>72</v>
      </c>
      <c r="F22" s="109">
        <f>IF(F16+F17+F8&gt;79000,0,79000-F8-F16-F17)</f>
        <v>0</v>
      </c>
      <c r="G22" s="109"/>
    </row>
    <row r="23" spans="6:7" ht="18.75">
      <c r="F23" s="43"/>
      <c r="G23" s="43"/>
    </row>
    <row r="24" ht="18.75">
      <c r="A24" s="1" t="s">
        <v>30</v>
      </c>
    </row>
    <row r="25" spans="3:7" ht="18.75" customHeight="1">
      <c r="C25" s="37"/>
      <c r="D25" s="37"/>
      <c r="E25" s="37"/>
      <c r="F25" s="112">
        <f>SUM(F20:F22)</f>
        <v>54000</v>
      </c>
      <c r="G25" s="112"/>
    </row>
    <row r="26" spans="3:8" ht="18.75" customHeight="1" thickBot="1">
      <c r="C26" s="37"/>
      <c r="D26" s="37"/>
      <c r="E26" s="37"/>
      <c r="F26" s="113"/>
      <c r="G26" s="113"/>
      <c r="H26" s="1" t="s">
        <v>31</v>
      </c>
    </row>
    <row r="27" ht="19.5" thickTop="1"/>
  </sheetData>
  <mergeCells count="10">
    <mergeCell ref="F25:G26"/>
    <mergeCell ref="F16:G16"/>
    <mergeCell ref="F8:G8"/>
    <mergeCell ref="F22:G22"/>
    <mergeCell ref="F7:G7"/>
    <mergeCell ref="F11:G11"/>
    <mergeCell ref="F14:G14"/>
    <mergeCell ref="F21:G21"/>
    <mergeCell ref="F20:G20"/>
    <mergeCell ref="F17:G17"/>
  </mergeCells>
  <dataValidations count="1">
    <dataValidation type="whole" allowBlank="1" showInputMessage="1" showErrorMessage="1" sqref="G5">
      <formula1>0</formula1>
      <formula2>19</formula2>
    </dataValidation>
  </dataValidations>
  <printOptions/>
  <pageMargins left="0.75" right="0.75" top="1" bottom="1" header="0.512" footer="0.512"/>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tabColor indexed="45"/>
  </sheetPr>
  <dimension ref="A1:M36"/>
  <sheetViews>
    <sheetView showGridLines="0" zoomScale="75" zoomScaleNormal="75" zoomScaleSheetLayoutView="75" workbookViewId="0" topLeftCell="A1">
      <selection activeCell="A28" sqref="A28"/>
    </sheetView>
  </sheetViews>
  <sheetFormatPr defaultColWidth="9.00390625" defaultRowHeight="13.5"/>
  <cols>
    <col min="1" max="1" width="13.25390625" style="1" bestFit="1" customWidth="1"/>
    <col min="2" max="4" width="9.00390625" style="1" customWidth="1"/>
    <col min="5" max="5" width="18.50390625" style="1" customWidth="1"/>
    <col min="6" max="6" width="22.50390625" style="1" customWidth="1"/>
    <col min="7" max="7" width="18.25390625" style="1" customWidth="1"/>
    <col min="8" max="8" width="14.00390625" style="1" customWidth="1"/>
    <col min="9" max="16384" width="9.00390625" style="1" customWidth="1"/>
  </cols>
  <sheetData>
    <row r="1" ht="24">
      <c r="A1" s="44" t="s">
        <v>33</v>
      </c>
    </row>
    <row r="2" ht="18.75">
      <c r="A2" s="1" t="s">
        <v>115</v>
      </c>
    </row>
    <row r="3" ht="18.75">
      <c r="A3" s="53" t="s">
        <v>50</v>
      </c>
    </row>
    <row r="4" ht="19.5" thickBot="1"/>
    <row r="5" spans="1:7" ht="18.75" customHeight="1" thickBot="1" thickTop="1">
      <c r="A5" s="1" t="s">
        <v>100</v>
      </c>
      <c r="G5" s="34">
        <v>17</v>
      </c>
    </row>
    <row r="6" s="32" customFormat="1" ht="19.5" customHeight="1" thickBot="1" thickTop="1">
      <c r="G6" s="33"/>
    </row>
    <row r="7" spans="1:8" ht="20.25" thickBot="1" thickTop="1">
      <c r="A7" s="1" t="s">
        <v>55</v>
      </c>
      <c r="G7" s="84">
        <v>1</v>
      </c>
      <c r="H7" s="1" t="s">
        <v>116</v>
      </c>
    </row>
    <row r="8" ht="20.25" thickBot="1" thickTop="1">
      <c r="G8" s="9"/>
    </row>
    <row r="9" spans="1:7" ht="27" customHeight="1" thickBot="1" thickTop="1">
      <c r="A9" s="79" t="s">
        <v>109</v>
      </c>
      <c r="G9" s="35">
        <v>1</v>
      </c>
    </row>
    <row r="10" ht="15.75" customHeight="1" thickTop="1"/>
    <row r="11" spans="1:13" ht="15.75" customHeight="1" hidden="1">
      <c r="A11" s="1" t="s">
        <v>59</v>
      </c>
      <c r="G11" s="12">
        <v>50000</v>
      </c>
      <c r="H11" s="1" t="s">
        <v>89</v>
      </c>
      <c r="I11" s="1" t="s">
        <v>60</v>
      </c>
      <c r="K11" s="109">
        <f>G13+G17+G28</f>
        <v>50200</v>
      </c>
      <c r="L11" s="109"/>
      <c r="M11" s="1" t="s">
        <v>90</v>
      </c>
    </row>
    <row r="12" spans="1:11" ht="18.75" hidden="1">
      <c r="A12" s="32" t="s">
        <v>56</v>
      </c>
      <c r="B12" s="32"/>
      <c r="C12" s="32"/>
      <c r="D12" s="32"/>
      <c r="E12" s="32"/>
      <c r="F12" s="115">
        <f>IF(OR(G5=18,G5=19),25000,IF(AND(G5&gt;0,G5&lt;18),16000,0))</f>
        <v>16000</v>
      </c>
      <c r="G12" s="115"/>
      <c r="H12" s="32" t="s">
        <v>91</v>
      </c>
      <c r="I12" s="32"/>
      <c r="J12" s="32"/>
      <c r="K12" s="32"/>
    </row>
    <row r="13" spans="1:11" ht="18.75">
      <c r="A13" s="32" t="s">
        <v>98</v>
      </c>
      <c r="B13" s="32"/>
      <c r="C13" s="32"/>
      <c r="D13" s="32"/>
      <c r="E13" s="32"/>
      <c r="G13" s="69">
        <f>50000-F12</f>
        <v>34000</v>
      </c>
      <c r="H13" s="32" t="s">
        <v>92</v>
      </c>
      <c r="I13" s="32"/>
      <c r="J13" s="32"/>
      <c r="K13" s="32"/>
    </row>
    <row r="15" ht="19.5" thickBot="1">
      <c r="A15" s="62" t="s">
        <v>80</v>
      </c>
    </row>
    <row r="16" spans="1:8" ht="20.25" thickBot="1" thickTop="1">
      <c r="A16" s="1" t="s">
        <v>93</v>
      </c>
      <c r="G16" s="26">
        <v>500</v>
      </c>
      <c r="H16" s="1" t="s">
        <v>41</v>
      </c>
    </row>
    <row r="17" spans="2:8" ht="49.5" customHeight="1" thickTop="1">
      <c r="B17" s="1" t="s">
        <v>51</v>
      </c>
      <c r="G17" s="12">
        <f>ROUNDDOWN(IF(AND(G7=1,G16*30.4&gt;37200),37200,IF(AND(G7=2,G16*30.4&gt;37200),37200,G16*30.4)),0)</f>
        <v>15200</v>
      </c>
      <c r="H17" s="1" t="s">
        <v>94</v>
      </c>
    </row>
    <row r="18" spans="2:8" ht="30.75" customHeight="1">
      <c r="B18" s="1" t="s">
        <v>110</v>
      </c>
      <c r="G18" s="12">
        <f>IF(AND(G9=1,G17&gt;9300),9300,G17)</f>
        <v>9300</v>
      </c>
      <c r="H18" s="1" t="s">
        <v>111</v>
      </c>
    </row>
    <row r="19" spans="7:8" ht="22.5" customHeight="1" hidden="1">
      <c r="G19" s="12"/>
      <c r="H19" s="53"/>
    </row>
    <row r="20" spans="2:8" ht="22.5" customHeight="1" hidden="1">
      <c r="B20" s="53" t="s">
        <v>62</v>
      </c>
      <c r="G20" s="12">
        <f>ROUNDDOWN(IF(G16*30.4&gt;15000,15000,G16*30.4),0)</f>
        <v>15000</v>
      </c>
      <c r="H20" s="1" t="s">
        <v>66</v>
      </c>
    </row>
    <row r="21" spans="7:8" ht="19.5" thickBot="1">
      <c r="G21" s="12"/>
      <c r="H21" s="53"/>
    </row>
    <row r="22" spans="1:8" ht="20.25" thickBot="1" thickTop="1">
      <c r="A22" s="62" t="s">
        <v>81</v>
      </c>
      <c r="G22" s="27">
        <v>88400</v>
      </c>
      <c r="H22" s="1" t="s">
        <v>107</v>
      </c>
    </row>
    <row r="23" ht="19.5" thickTop="1"/>
    <row r="24" spans="7:8" ht="18.75" hidden="1">
      <c r="G24" s="12">
        <f>IF(G7=1,40200,0)</f>
        <v>40200</v>
      </c>
      <c r="H24" s="1" t="s">
        <v>37</v>
      </c>
    </row>
    <row r="25" ht="18.75" hidden="1">
      <c r="G25" s="68" t="s">
        <v>95</v>
      </c>
    </row>
    <row r="26" spans="7:8" ht="18.75" hidden="1">
      <c r="G26" s="12">
        <f>IF(G24&gt;G22/10,G22/10,G24)</f>
        <v>8840</v>
      </c>
      <c r="H26" s="1" t="s">
        <v>58</v>
      </c>
    </row>
    <row r="27" spans="1:7" ht="18.75" hidden="1">
      <c r="A27" s="12"/>
      <c r="G27" s="68" t="s">
        <v>96</v>
      </c>
    </row>
    <row r="28" spans="2:7" ht="18.75">
      <c r="B28" s="1" t="s">
        <v>82</v>
      </c>
      <c r="G28" s="12">
        <f>IF(IF(G20+G26+G13&gt;50000,50000-G13-G20,G26)&lt;0,0,IF(G20+G26+G13&gt;50000,50000-G13-G20,G26))</f>
        <v>1000</v>
      </c>
    </row>
    <row r="30" ht="18.75">
      <c r="A30" s="62" t="s">
        <v>104</v>
      </c>
    </row>
    <row r="31" ht="18.75">
      <c r="A31" s="62"/>
    </row>
    <row r="32" spans="1:7" ht="18.75">
      <c r="A32" s="1" t="s">
        <v>83</v>
      </c>
      <c r="G32" s="12">
        <f>IF(G9=1,G18,G17)</f>
        <v>9300</v>
      </c>
    </row>
    <row r="33" spans="1:7" ht="18.75">
      <c r="A33" s="1" t="s">
        <v>84</v>
      </c>
      <c r="G33" s="12">
        <f>G28</f>
        <v>1000</v>
      </c>
    </row>
    <row r="34" spans="1:7" ht="18.75">
      <c r="A34" s="1" t="s">
        <v>57</v>
      </c>
      <c r="G34" s="12">
        <f>IF(G20+G26+G13&gt;50000,0,50000-G13-G20-G26)</f>
        <v>0</v>
      </c>
    </row>
    <row r="36" spans="1:8" ht="26.25" thickBot="1">
      <c r="A36" s="1" t="s">
        <v>106</v>
      </c>
      <c r="F36" s="116">
        <f>G33+G32+G34</f>
        <v>10300</v>
      </c>
      <c r="G36" s="117"/>
      <c r="H36" s="1" t="s">
        <v>97</v>
      </c>
    </row>
    <row r="37" ht="19.5" thickTop="1"/>
  </sheetData>
  <mergeCells count="3">
    <mergeCell ref="F12:G12"/>
    <mergeCell ref="K11:L11"/>
    <mergeCell ref="F36:G36"/>
  </mergeCells>
  <dataValidations count="3">
    <dataValidation type="whole" allowBlank="1" showInputMessage="1" showErrorMessage="1" sqref="G5">
      <formula1>0</formula1>
      <formula2>19</formula2>
    </dataValidation>
    <dataValidation type="whole" operator="equal" allowBlank="1" showInputMessage="1" showErrorMessage="1" sqref="G7">
      <formula1>1</formula1>
    </dataValidation>
    <dataValidation type="whole" allowBlank="1" showInputMessage="1" showErrorMessage="1" sqref="G9">
      <formula1>1</formula1>
      <formula2>1</formula2>
    </dataValidation>
  </dataValidations>
  <printOptions/>
  <pageMargins left="0.75" right="0.75" top="1" bottom="1" header="0.512" footer="0.512"/>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tabColor indexed="11"/>
  </sheetPr>
  <dimension ref="A1:M36"/>
  <sheetViews>
    <sheetView showGridLines="0" zoomScale="75" zoomScaleNormal="75" zoomScaleSheetLayoutView="75" workbookViewId="0" topLeftCell="A4">
      <selection activeCell="F35" sqref="F35"/>
    </sheetView>
  </sheetViews>
  <sheetFormatPr defaultColWidth="9.00390625" defaultRowHeight="13.5"/>
  <cols>
    <col min="1" max="1" width="13.25390625" style="1" bestFit="1" customWidth="1"/>
    <col min="2" max="4" width="9.00390625" style="1" customWidth="1"/>
    <col min="5" max="5" width="18.50390625" style="1" customWidth="1"/>
    <col min="6" max="6" width="22.50390625" style="1" customWidth="1"/>
    <col min="7" max="7" width="18.25390625" style="1" customWidth="1"/>
    <col min="8" max="8" width="14.00390625" style="1" customWidth="1"/>
    <col min="9" max="16384" width="9.00390625" style="1" customWidth="1"/>
  </cols>
  <sheetData>
    <row r="1" ht="24">
      <c r="A1" s="44" t="s">
        <v>33</v>
      </c>
    </row>
    <row r="2" ht="18.75">
      <c r="A2" s="1" t="s">
        <v>101</v>
      </c>
    </row>
    <row r="3" ht="18.75">
      <c r="A3" s="53" t="s">
        <v>50</v>
      </c>
    </row>
    <row r="4" ht="19.5" thickBot="1"/>
    <row r="5" spans="1:7" ht="20.25" thickBot="1" thickTop="1">
      <c r="A5" s="1" t="s">
        <v>54</v>
      </c>
      <c r="G5" s="34">
        <v>18</v>
      </c>
    </row>
    <row r="6" s="32" customFormat="1" ht="20.25" thickBot="1" thickTop="1">
      <c r="G6" s="33"/>
    </row>
    <row r="7" spans="1:8" ht="20.25" thickBot="1" thickTop="1">
      <c r="A7" s="1" t="s">
        <v>55</v>
      </c>
      <c r="G7" s="36">
        <v>2</v>
      </c>
      <c r="H7" s="1" t="s">
        <v>35</v>
      </c>
    </row>
    <row r="8" ht="20.25" thickBot="1" thickTop="1"/>
    <row r="9" spans="1:7" ht="20.25" thickBot="1" thickTop="1">
      <c r="A9" s="1" t="s">
        <v>112</v>
      </c>
      <c r="G9" s="35">
        <v>1</v>
      </c>
    </row>
    <row r="10" ht="15.75" customHeight="1" thickTop="1"/>
    <row r="11" spans="1:13" ht="15.75" customHeight="1" hidden="1">
      <c r="A11" s="1" t="s">
        <v>59</v>
      </c>
      <c r="G11" s="12">
        <v>50000</v>
      </c>
      <c r="H11" s="1" t="s">
        <v>63</v>
      </c>
      <c r="I11" s="1" t="s">
        <v>60</v>
      </c>
      <c r="K11" s="109">
        <f>G13+G17+G28</f>
        <v>59600</v>
      </c>
      <c r="L11" s="109"/>
      <c r="M11" s="1" t="s">
        <v>61</v>
      </c>
    </row>
    <row r="12" spans="1:11" ht="18.75" hidden="1">
      <c r="A12" s="32" t="s">
        <v>56</v>
      </c>
      <c r="B12" s="32"/>
      <c r="C12" s="32"/>
      <c r="D12" s="32"/>
      <c r="E12" s="32"/>
      <c r="F12" s="115">
        <f>IF(OR(G5=18,G5=19),25000,IF(AND(G5&gt;0,G5&lt;18),16000,0))</f>
        <v>25000</v>
      </c>
      <c r="G12" s="115"/>
      <c r="H12" s="32" t="s">
        <v>34</v>
      </c>
      <c r="I12" s="32"/>
      <c r="J12" s="32"/>
      <c r="K12" s="32"/>
    </row>
    <row r="13" spans="1:11" ht="18.75">
      <c r="A13" s="32" t="s">
        <v>78</v>
      </c>
      <c r="B13" s="32"/>
      <c r="C13" s="32"/>
      <c r="D13" s="32"/>
      <c r="E13" s="32"/>
      <c r="G13" s="69">
        <f>50000-F12</f>
        <v>25000</v>
      </c>
      <c r="H13" s="32" t="s">
        <v>77</v>
      </c>
      <c r="I13" s="32"/>
      <c r="J13" s="32"/>
      <c r="K13" s="32"/>
    </row>
    <row r="15" ht="19.5" thickBot="1">
      <c r="A15" s="62" t="s">
        <v>80</v>
      </c>
    </row>
    <row r="16" spans="1:8" ht="20.25" thickBot="1" thickTop="1">
      <c r="A16" s="1" t="s">
        <v>36</v>
      </c>
      <c r="G16" s="26">
        <v>862</v>
      </c>
      <c r="H16" s="1" t="s">
        <v>41</v>
      </c>
    </row>
    <row r="17" spans="2:8" ht="19.5" thickTop="1">
      <c r="B17" s="1" t="s">
        <v>51</v>
      </c>
      <c r="G17" s="12">
        <f>ROUNDDOWN(IF(AND(G7=1,G16*30.4&gt;15000),15000,IF(AND(G7=2,G16*30.4&gt;24600),24600,G16*30.4)),0)</f>
        <v>24600</v>
      </c>
      <c r="H17" s="1" t="s">
        <v>64</v>
      </c>
    </row>
    <row r="18" spans="2:8" ht="18.75">
      <c r="B18" s="1" t="s">
        <v>110</v>
      </c>
      <c r="G18" s="12">
        <f>IF(AND(G7=1,G17&gt;3500),3500,IF(AND(G7=2,G17&gt;6000),6000,G17))</f>
        <v>6000</v>
      </c>
      <c r="H18" s="1" t="s">
        <v>111</v>
      </c>
    </row>
    <row r="19" spans="7:8" ht="18.75" hidden="1">
      <c r="G19" s="12"/>
      <c r="H19" s="53"/>
    </row>
    <row r="20" spans="2:8" ht="18.75" hidden="1">
      <c r="B20" s="53" t="s">
        <v>62</v>
      </c>
      <c r="G20" s="12">
        <f>ROUNDDOWN(IF(G16*30.4&gt;15000,15000,G16*30.4),0)</f>
        <v>15000</v>
      </c>
      <c r="H20" s="1" t="s">
        <v>66</v>
      </c>
    </row>
    <row r="21" spans="7:8" ht="19.5" thickBot="1">
      <c r="G21" s="12"/>
      <c r="H21" s="53"/>
    </row>
    <row r="22" spans="1:8" ht="20.25" thickBot="1" thickTop="1">
      <c r="A22" s="62" t="s">
        <v>81</v>
      </c>
      <c r="G22" s="27">
        <v>400000</v>
      </c>
      <c r="H22" s="1" t="s">
        <v>107</v>
      </c>
    </row>
    <row r="23" ht="19.5" thickTop="1"/>
    <row r="24" spans="7:8" ht="18.75" hidden="1">
      <c r="G24" s="12">
        <f>IF(G7=1,15000,IF(G7=2,24600,0))</f>
        <v>24600</v>
      </c>
      <c r="H24" s="1" t="s">
        <v>37</v>
      </c>
    </row>
    <row r="25" ht="18.75" hidden="1">
      <c r="G25" s="68" t="s">
        <v>65</v>
      </c>
    </row>
    <row r="26" spans="7:8" ht="18.75" hidden="1">
      <c r="G26" s="12">
        <f>IF(G24&gt;G22/10,G22/10,G24)</f>
        <v>24600</v>
      </c>
      <c r="H26" s="1" t="s">
        <v>58</v>
      </c>
    </row>
    <row r="27" spans="1:7" ht="18.75" hidden="1">
      <c r="A27" s="12"/>
      <c r="G27" s="68" t="s">
        <v>65</v>
      </c>
    </row>
    <row r="28" spans="2:7" ht="18.75">
      <c r="B28" s="1" t="s">
        <v>82</v>
      </c>
      <c r="G28" s="12">
        <f>IF(IF(G20+G26+G13&gt;50000,50000-G13-G20,G26)&lt;0,0,IF(G20+G26+G13&gt;50000,50000-G13-G20,G26))</f>
        <v>10000</v>
      </c>
    </row>
    <row r="30" ht="18.75">
      <c r="A30" s="62" t="s">
        <v>104</v>
      </c>
    </row>
    <row r="31" ht="18.75">
      <c r="A31" s="62"/>
    </row>
    <row r="32" spans="1:7" ht="18.75">
      <c r="A32" s="1" t="s">
        <v>83</v>
      </c>
      <c r="G32" s="12">
        <f>IF(G9=1,G18,G17)</f>
        <v>6000</v>
      </c>
    </row>
    <row r="33" spans="1:7" ht="18.75">
      <c r="A33" s="1" t="s">
        <v>84</v>
      </c>
      <c r="G33" s="12">
        <f>G28</f>
        <v>10000</v>
      </c>
    </row>
    <row r="34" spans="1:7" ht="18.75">
      <c r="A34" s="1" t="s">
        <v>57</v>
      </c>
      <c r="G34" s="12">
        <f>IF(G20+G26+G13&gt;50000,0,50000-G13-G20-G26)</f>
        <v>0</v>
      </c>
    </row>
    <row r="36" spans="1:8" ht="26.25" thickBot="1">
      <c r="A36" s="1" t="s">
        <v>106</v>
      </c>
      <c r="F36" s="116">
        <f>G33+G32+G34</f>
        <v>16000</v>
      </c>
      <c r="G36" s="117"/>
      <c r="H36" s="1" t="s">
        <v>38</v>
      </c>
    </row>
    <row r="37" ht="19.5" thickTop="1"/>
  </sheetData>
  <mergeCells count="3">
    <mergeCell ref="F12:G12"/>
    <mergeCell ref="K11:L11"/>
    <mergeCell ref="F36:G36"/>
  </mergeCells>
  <dataValidations count="3">
    <dataValidation type="whole" allowBlank="1" showInputMessage="1" showErrorMessage="1" sqref="G5">
      <formula1>0</formula1>
      <formula2>19</formula2>
    </dataValidation>
    <dataValidation type="whole" allowBlank="1" showInputMessage="1" showErrorMessage="1" sqref="G7">
      <formula1>1</formula1>
      <formula2>2</formula2>
    </dataValidation>
    <dataValidation type="whole" allowBlank="1" showInputMessage="1" showErrorMessage="1" sqref="G9">
      <formula1>1</formula1>
      <formula2>1</formula2>
    </dataValidation>
  </dataValidations>
  <printOptions/>
  <pageMargins left="0.75" right="0.75" top="1" bottom="1" header="0.512" footer="0.51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情報政策課</cp:lastModifiedBy>
  <cp:lastPrinted>2006-09-14T18:08:04Z</cp:lastPrinted>
  <dcterms:created xsi:type="dcterms:W3CDTF">2006-07-27T09:42:51Z</dcterms:created>
  <dcterms:modified xsi:type="dcterms:W3CDTF">2008-06-17T11:53:56Z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