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20520" windowHeight="3645" tabRatio="734" activeTab="5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'01施設概要'!$B$1:$R$41</definedName>
    <definedName name="_xlnm.Print_Area" localSheetId="1">'02損益計算'!$B$1:$T$53</definedName>
    <definedName name="_xlnm.Print_Area" localSheetId="2">'03収益費用構成'!$B$1:$S$49</definedName>
    <definedName name="_xlnm.Print_Area" localSheetId="3">'04貸借対照'!$B$1:$S$68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'07繰入金(1)'!$B$1:$U$53</definedName>
    <definedName name="_xlnm.Print_Area" localSheetId="7">'08繰入金(2)'!$B$1:$U$50</definedName>
    <definedName name="Print_Area_MI" localSheetId="0">'01施設概要'!$D$1:$Q$41</definedName>
    <definedName name="Print_Area_MI" localSheetId="1">'02損益計算'!$B$1:$S$52</definedName>
    <definedName name="Print_Area_MI" localSheetId="2">'03収益費用構成'!$B$1:$R$49</definedName>
    <definedName name="Print_Area_MI" localSheetId="3">'04貸借対照'!$B$1:$R$50</definedName>
    <definedName name="Print_Area_MI" localSheetId="4">'05資本的収支'!$B$1:$R$35</definedName>
    <definedName name="Print_Area_MI" localSheetId="6">'07繰入金(1)'!$B$1:$T$53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<sst xmlns="http://schemas.openxmlformats.org/spreadsheetml/2006/main" count="1145" uniqueCount="527">
  <si>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</si>
  <si>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</si>
  <si>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</si>
  <si>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</si>
  <si>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</si>
  <si>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</si>
  <si>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</si>
  <si>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</si>
  <si>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</si>
  <si>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</si>
  <si>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</si>
  <si>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</si>
  <si>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</si>
  <si>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</si>
  <si>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</si>
  <si>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</si>
  <si>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</si>
  <si>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</si>
  <si>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</si>
  <si>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</si>
  <si>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</si>
  <si>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</si>
  <si>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</si>
  <si>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</si>
  <si>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</si>
  <si>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</si>
  <si>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</si>
  <si>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</si>
  <si>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</si>
  <si>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</si>
  <si>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</si>
  <si>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</si>
  <si>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</si>
  <si>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</si>
  <si>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</si>
  <si>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</si>
  <si>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</si>
  <si>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</si>
  <si>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</si>
  <si>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</si>
  <si>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</si>
  <si>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</si>
  <si>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</si>
  <si>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</si>
  <si>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</si>
  <si>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</si>
  <si>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</si>
  <si>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</si>
  <si>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</si>
  <si>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</si>
  <si>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</si>
  <si>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</si>
  <si>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</si>
  <si>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</si>
  <si>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</si>
  <si>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</si>
  <si>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</si>
  <si>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</si>
  <si>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</si>
  <si>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</si>
  <si>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</si>
  <si>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</si>
  <si>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</si>
  <si>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</si>
  <si>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</si>
  <si>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</si>
  <si>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</si>
  <si>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</si>
  <si>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</si>
  <si>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</si>
  <si>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</si>
  <si>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</si>
  <si>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</si>
  <si>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</si>
  <si>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</si>
  <si>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</si>
  <si>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</si>
  <si>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</si>
  <si>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</si>
  <si>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</si>
  <si>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</si>
  <si>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</si>
  <si>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</si>
  <si>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</si>
  <si>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</si>
  <si>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</si>
  <si>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</si>
  <si>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</si>
  <si>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</si>
  <si>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</si>
  <si>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</si>
  <si>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</si>
  <si>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</si>
  <si>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</si>
  <si>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</si>
  <si>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</si>
  <si>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</si>
  <si>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</si>
  <si>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</si>
  <si>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</si>
  <si>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</si>
  <si>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</si>
  <si>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</si>
  <si>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</si>
  <si>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</si>
  <si>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</si>
  <si>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</si>
  <si>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</si>
  <si>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</si>
  <si>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</si>
  <si>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</si>
  <si>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</si>
  <si>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</si>
  <si>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</si>
  <si>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</si>
  <si>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</si>
  <si>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</si>
  <si>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</si>
  <si>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</si>
  <si>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</si>
  <si>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</si>
  <si>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</si>
  <si>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</si>
  <si>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</si>
  <si>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</si>
  <si>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</si>
  <si>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</si>
  <si>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</si>
  <si>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</si>
  <si>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</si>
  <si>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</si>
  <si>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</si>
  <si>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</si>
  <si>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</si>
  <si>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</si>
  <si>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</si>
  <si>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</si>
  <si>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エ 建 設 仮 勘 定</t>
  </si>
  <si>
    <t>(１) 現  金  預  金</t>
  </si>
  <si>
    <t xml:space="preserve"> ４ 資    産    合    計</t>
  </si>
  <si>
    <t xml:space="preserve"> ５ 固    定    負    債</t>
  </si>
  <si>
    <t>(５) そ    の    他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</si>
  <si>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</si>
  <si>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</si>
  <si>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</si>
  <si>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</si>
  <si>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</si>
  <si>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</si>
  <si>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</si>
  <si>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</si>
  <si>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</si>
  <si>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</si>
  <si>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</si>
  <si>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</si>
  <si>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</si>
  <si>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</si>
  <si>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</si>
  <si>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</si>
  <si>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</si>
  <si>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</si>
  <si>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</si>
  <si>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</si>
  <si>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</si>
  <si>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</si>
  <si>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</si>
  <si>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</si>
  <si>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</si>
  <si>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</si>
  <si>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</si>
  <si>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</si>
  <si>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</si>
  <si>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</si>
  <si>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</si>
  <si>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</si>
  <si>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</si>
  <si>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</si>
  <si>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</si>
  <si>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</si>
  <si>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</si>
  <si>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</si>
  <si>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</si>
  <si>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</si>
  <si>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</si>
  <si>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</si>
  <si>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</si>
  <si>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</si>
  <si>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</si>
  <si>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</si>
  <si>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</si>
  <si>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</si>
  <si>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</si>
  <si>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</si>
  <si>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</si>
  <si>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</si>
  <si>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</si>
  <si>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</si>
  <si>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</si>
  <si>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</si>
  <si>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</si>
  <si>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</si>
  <si>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</si>
  <si>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</si>
  <si>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</si>
  <si>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</si>
  <si>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</si>
  <si>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</si>
  <si>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</si>
  <si>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</si>
  <si>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</si>
  <si>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</si>
  <si>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</si>
  <si>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</si>
  <si>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</si>
  <si>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</si>
  <si>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</si>
  <si>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</si>
  <si>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</si>
  <si>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</si>
  <si>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</si>
  <si>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 xml:space="preserve"> 看護師養成所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</si>
  <si>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</si>
  <si>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</si>
  <si>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</si>
  <si>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</si>
  <si>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</si>
  <si>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</si>
  <si>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</si>
  <si>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</si>
  <si>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</si>
  <si>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</si>
  <si>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</si>
  <si>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</si>
  <si>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</si>
  <si>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</si>
  <si>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</si>
  <si>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</si>
  <si>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</si>
  <si>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</si>
  <si>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</si>
  <si>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</si>
  <si>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</si>
  <si>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</si>
  <si>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</si>
  <si>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</si>
  <si>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</si>
  <si>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</si>
  <si>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</si>
  <si>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</si>
  <si>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</si>
  <si>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</si>
  <si>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</si>
  <si>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</si>
  <si>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</si>
  <si>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</si>
  <si>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</si>
  <si>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</si>
  <si>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</si>
  <si>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</si>
  <si>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</si>
  <si>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</si>
  <si>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</si>
  <si>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</si>
  <si>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</si>
  <si>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</si>
  <si>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</si>
  <si>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r>
      <t xml:space="preserve"> </t>
    </r>
    <r>
      <rPr>
        <sz val="14"/>
        <rFont val="ＭＳ 明朝"/>
        <family val="1"/>
      </rPr>
      <t>児　童　手　当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</si>
  <si>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</si>
  <si>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</si>
  <si>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</si>
  <si>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</si>
  <si>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</si>
  <si>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</si>
  <si>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</si>
  <si>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</si>
  <si>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</si>
  <si>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</si>
  <si>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</si>
  <si>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</si>
  <si>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</si>
  <si>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</si>
  <si>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</si>
  <si>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</si>
  <si>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</si>
  <si>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</si>
  <si>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</si>
  <si>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</si>
  <si>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 xml:space="preserve"> ２ 流    動    資    産</t>
  </si>
  <si>
    <t xml:space="preserve"> ６ 流    動    負    債</t>
  </si>
  <si>
    <t xml:space="preserve"> ９ 剰      余      金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</si>
  <si>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</si>
  <si>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</si>
  <si>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</si>
  <si>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</si>
  <si>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</si>
  <si>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</si>
  <si>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</si>
  <si>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</si>
  <si>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</si>
  <si>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</si>
  <si>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</si>
  <si>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</si>
  <si>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</si>
  <si>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</si>
  <si>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</si>
  <si>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</si>
  <si>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</si>
  <si>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</si>
  <si>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</si>
  <si>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</si>
  <si>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</si>
  <si>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</si>
  <si>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</si>
  <si>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</si>
  <si>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</si>
  <si>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</si>
  <si>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</si>
  <si>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</si>
  <si>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</si>
  <si>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</si>
  <si>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</si>
  <si>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</si>
  <si>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</si>
  <si>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</si>
  <si>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報徳病院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</si>
  <si>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</si>
  <si>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</si>
  <si>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</si>
  <si>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</si>
  <si>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</si>
  <si>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</si>
  <si>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</si>
  <si>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</si>
  <si>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</si>
  <si>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</si>
  <si>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</si>
  <si>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</si>
  <si>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</si>
  <si>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</si>
  <si>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</si>
  <si>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</si>
  <si>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</si>
  <si>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</si>
  <si>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</si>
  <si>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</si>
  <si>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</si>
  <si>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</si>
  <si>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</si>
  <si>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</si>
  <si>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</si>
  <si>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</si>
  <si>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</si>
  <si>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</si>
  <si>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</si>
  <si>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</si>
  <si>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</si>
  <si>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</si>
  <si>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</si>
  <si>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</si>
  <si>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</si>
  <si>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　入院診療日数</t>
  </si>
  <si>
    <t>　外来診療日数</t>
  </si>
  <si>
    <t>　医  業  収  益</t>
  </si>
  <si>
    <t>　入  院  収  益</t>
  </si>
  <si>
    <t>　外  来  収  益</t>
  </si>
  <si>
    <t>平 均</t>
  </si>
  <si>
    <t>尾鷲総合病院</t>
  </si>
  <si>
    <t xml:space="preserve">  　　　　　うち一般患者</t>
  </si>
  <si>
    <t xml:space="preserve">  　　　　　うち一般病床</t>
  </si>
  <si>
    <t>　薬品費：投薬分</t>
  </si>
  <si>
    <t>　薬品費：注射分</t>
  </si>
  <si>
    <t>　薬品費：合　計</t>
  </si>
  <si>
    <t>　給食材料費（患者用）</t>
  </si>
  <si>
    <t>　薬品収入（投薬分）</t>
  </si>
  <si>
    <t>　薬品収入（注射分）</t>
  </si>
  <si>
    <t xml:space="preserve">  入院：投薬収入</t>
  </si>
  <si>
    <t xml:space="preserve">  入院：注射収入</t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</si>
  <si>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</si>
  <si>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</si>
  <si>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</si>
  <si>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</si>
  <si>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</si>
  <si>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</si>
  <si>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</si>
  <si>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療 材 料 費</t>
  </si>
  <si>
    <t>　薬 品 費</t>
  </si>
  <si>
    <t>　年 延 医 師 数</t>
  </si>
  <si>
    <t>　年 延 看 護 職 員 数</t>
  </si>
  <si>
    <t>　剰    余    金</t>
  </si>
  <si>
    <t>　負 債 ・資 本 合 計</t>
  </si>
  <si>
    <t xml:space="preserve">  固  定  資  産</t>
  </si>
  <si>
    <t xml:space="preserve">  固  定  負  債</t>
  </si>
  <si>
    <t xml:space="preserve">  流　動  資  産</t>
  </si>
  <si>
    <t xml:space="preserve">  流　動  負　債</t>
  </si>
  <si>
    <t>　資  本  合  計</t>
  </si>
  <si>
    <t xml:space="preserve">  総　収　益</t>
  </si>
  <si>
    <t>　総  費　用</t>
  </si>
  <si>
    <t xml:space="preserve">  医　業　収　益</t>
  </si>
  <si>
    <t>　医　業  費　用</t>
  </si>
  <si>
    <t xml:space="preserve">  医　業　外　収　益</t>
  </si>
  <si>
    <t>　医　業　外  費　用</t>
  </si>
  <si>
    <t xml:space="preserve">  累　積　欠　損　金</t>
  </si>
  <si>
    <t>　不　良　債　務</t>
  </si>
  <si>
    <t>　固 定 負 債 ・ 企 業 債</t>
  </si>
  <si>
    <t>　一　時　借　入　金</t>
  </si>
  <si>
    <t>　支　払　利　息</t>
  </si>
  <si>
    <t>　企 業 債 取 扱 諸 費</t>
  </si>
  <si>
    <r>
      <t>0</t>
    </r>
    <r>
      <rPr>
        <sz val="14"/>
        <rFont val="ＭＳ 明朝"/>
        <family val="1"/>
      </rPr>
      <t>1_25列</t>
    </r>
  </si>
  <si>
    <r>
      <t>0</t>
    </r>
    <r>
      <rPr>
        <sz val="14"/>
        <rFont val="ＭＳ 明朝"/>
        <family val="1"/>
      </rPr>
      <t>1_26列</t>
    </r>
  </si>
  <si>
    <r>
      <t>0</t>
    </r>
    <r>
      <rPr>
        <sz val="14"/>
        <rFont val="ＭＳ 明朝"/>
        <family val="1"/>
      </rPr>
      <t>1_31列</t>
    </r>
  </si>
  <si>
    <r>
      <t>0</t>
    </r>
    <r>
      <rPr>
        <sz val="14"/>
        <rFont val="ＭＳ 明朝"/>
        <family val="1"/>
      </rPr>
      <t>1_17列*A</t>
    </r>
  </si>
  <si>
    <r>
      <t>(</t>
    </r>
    <r>
      <rPr>
        <sz val="14"/>
        <rFont val="ＭＳ 明朝"/>
        <family val="1"/>
      </rPr>
      <t>09-01-29)A</t>
    </r>
  </si>
  <si>
    <r>
      <t>(</t>
    </r>
    <r>
      <rPr>
        <sz val="14"/>
        <rFont val="ＭＳ 明朝"/>
        <family val="1"/>
      </rPr>
      <t>09-01-31)</t>
    </r>
  </si>
  <si>
    <r>
      <t>0</t>
    </r>
    <r>
      <rPr>
        <sz val="14"/>
        <rFont val="ＭＳ 明朝"/>
        <family val="1"/>
      </rPr>
      <t>1_12列*A</t>
    </r>
  </si>
  <si>
    <r>
      <t>0</t>
    </r>
    <r>
      <rPr>
        <sz val="14"/>
        <rFont val="ＭＳ 明朝"/>
        <family val="1"/>
      </rPr>
      <t>2_10列</t>
    </r>
  </si>
  <si>
    <r>
      <t>0</t>
    </r>
    <r>
      <rPr>
        <sz val="14"/>
        <rFont val="ＭＳ 明朝"/>
        <family val="1"/>
      </rPr>
      <t>2_11列</t>
    </r>
  </si>
  <si>
    <r>
      <t>0</t>
    </r>
    <r>
      <rPr>
        <sz val="14"/>
        <rFont val="ＭＳ 明朝"/>
        <family val="1"/>
      </rPr>
      <t>2_12列</t>
    </r>
  </si>
  <si>
    <r>
      <t>0</t>
    </r>
    <r>
      <rPr>
        <sz val="14"/>
        <rFont val="ＭＳ 明朝"/>
        <family val="1"/>
      </rPr>
      <t>3_24列</t>
    </r>
  </si>
  <si>
    <r>
      <t>0</t>
    </r>
    <r>
      <rPr>
        <sz val="14"/>
        <rFont val="ＭＳ 明朝"/>
        <family val="1"/>
      </rPr>
      <t>3_25列</t>
    </r>
  </si>
  <si>
    <r>
      <t>0</t>
    </r>
    <r>
      <rPr>
        <sz val="14"/>
        <rFont val="ＭＳ 明朝"/>
        <family val="1"/>
      </rPr>
      <t>3_29列</t>
    </r>
  </si>
  <si>
    <r>
      <t>0</t>
    </r>
    <r>
      <rPr>
        <sz val="14"/>
        <rFont val="ＭＳ 明朝"/>
        <family val="1"/>
      </rPr>
      <t>3_32列 C</t>
    </r>
  </si>
  <si>
    <r>
      <t>0</t>
    </r>
    <r>
      <rPr>
        <sz val="14"/>
        <rFont val="ＭＳ 明朝"/>
        <family val="1"/>
      </rPr>
      <t>3_33列 D</t>
    </r>
  </si>
  <si>
    <r>
      <t>0</t>
    </r>
    <r>
      <rPr>
        <sz val="14"/>
        <rFont val="ＭＳ 明朝"/>
        <family val="1"/>
      </rPr>
      <t>3_43列 E</t>
    </r>
  </si>
  <si>
    <r>
      <t>C</t>
    </r>
    <r>
      <rPr>
        <sz val="14"/>
        <rFont val="ＭＳ 明朝"/>
        <family val="1"/>
      </rPr>
      <t>+E</t>
    </r>
  </si>
  <si>
    <r>
      <t>0</t>
    </r>
    <r>
      <rPr>
        <sz val="14"/>
        <rFont val="ＭＳ 明朝"/>
        <family val="1"/>
      </rPr>
      <t>3_44列 F</t>
    </r>
  </si>
  <si>
    <r>
      <t>D</t>
    </r>
    <r>
      <rPr>
        <sz val="14"/>
        <rFont val="ＭＳ 明朝"/>
        <family val="1"/>
      </rPr>
      <t>+F</t>
    </r>
  </si>
  <si>
    <r>
      <t>0</t>
    </r>
    <r>
      <rPr>
        <sz val="14"/>
        <rFont val="ＭＳ 明朝"/>
        <family val="1"/>
      </rPr>
      <t>3_35列</t>
    </r>
  </si>
  <si>
    <r>
      <t>0</t>
    </r>
    <r>
      <rPr>
        <sz val="14"/>
        <rFont val="ＭＳ 明朝"/>
        <family val="1"/>
      </rPr>
      <t>3_46列</t>
    </r>
  </si>
  <si>
    <r>
      <t>0</t>
    </r>
    <r>
      <rPr>
        <sz val="14"/>
        <rFont val="ＭＳ 明朝"/>
        <family val="1"/>
      </rPr>
      <t>3_36列</t>
    </r>
  </si>
  <si>
    <r>
      <t>0</t>
    </r>
    <r>
      <rPr>
        <sz val="14"/>
        <rFont val="ＭＳ 明朝"/>
        <family val="1"/>
      </rPr>
      <t>3_47列</t>
    </r>
  </si>
  <si>
    <r>
      <t>0</t>
    </r>
    <r>
      <rPr>
        <sz val="14"/>
        <rFont val="ＭＳ 明朝"/>
        <family val="1"/>
      </rPr>
      <t>3_14列</t>
    </r>
  </si>
  <si>
    <r>
      <t>0</t>
    </r>
    <r>
      <rPr>
        <sz val="14"/>
        <rFont val="ＭＳ 明朝"/>
        <family val="1"/>
      </rPr>
      <t>3_28列</t>
    </r>
  </si>
  <si>
    <r>
      <t>0</t>
    </r>
    <r>
      <rPr>
        <sz val="14"/>
        <rFont val="ＭＳ 明朝"/>
        <family val="1"/>
      </rPr>
      <t>3_26列</t>
    </r>
  </si>
  <si>
    <r>
      <t>(</t>
    </r>
    <r>
      <rPr>
        <sz val="14"/>
        <rFont val="ＭＳ 明朝"/>
        <family val="1"/>
      </rPr>
      <t>27-01-13)</t>
    </r>
  </si>
  <si>
    <r>
      <t>(</t>
    </r>
    <r>
      <rPr>
        <sz val="14"/>
        <rFont val="ＭＳ 明朝"/>
        <family val="1"/>
      </rPr>
      <t>27-01-14)</t>
    </r>
  </si>
  <si>
    <r>
      <t>0</t>
    </r>
    <r>
      <rPr>
        <sz val="14"/>
        <rFont val="ＭＳ 明朝"/>
        <family val="1"/>
      </rPr>
      <t>4_32列</t>
    </r>
  </si>
  <si>
    <r>
      <t>0</t>
    </r>
    <r>
      <rPr>
        <sz val="14"/>
        <rFont val="ＭＳ 明朝"/>
        <family val="1"/>
      </rPr>
      <t>2_09列</t>
    </r>
  </si>
  <si>
    <r>
      <t>0</t>
    </r>
    <r>
      <rPr>
        <sz val="14"/>
        <rFont val="ＭＳ 明朝"/>
        <family val="1"/>
      </rPr>
      <t>4_28列</t>
    </r>
  </si>
  <si>
    <r>
      <t xml:space="preserve"> 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</si>
  <si>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</si>
  <si>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</si>
  <si>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</si>
  <si>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</si>
  <si>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収益勘定繰入金</t>
  </si>
  <si>
    <t>資本勘定繰入金</t>
  </si>
  <si>
    <r>
      <t>基 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</si>
  <si>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実繰入額</t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</si>
  <si>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</si>
  <si>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</si>
  <si>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</si>
  <si>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</si>
  <si>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</si>
  <si>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</si>
  <si>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</si>
  <si>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>15：1</t>
  </si>
  <si>
    <t xml:space="preserve"> 医師確保対策経費</t>
  </si>
  <si>
    <t xml:space="preserve"> 公立病院改革</t>
  </si>
  <si>
    <t xml:space="preserve">プラン経費 </t>
  </si>
  <si>
    <t xml:space="preserve">プラン経費 </t>
  </si>
  <si>
    <t>想定企業</t>
  </si>
  <si>
    <t>　　一　般　</t>
  </si>
  <si>
    <t>―</t>
  </si>
  <si>
    <t>―</t>
  </si>
  <si>
    <t>7：1</t>
  </si>
  <si>
    <t>20：1</t>
  </si>
  <si>
    <t xml:space="preserve"> キ 長 期 前 受 金 戻 入</t>
  </si>
  <si>
    <t xml:space="preserve"> ク 資 本 費 繰 入 収 益</t>
  </si>
  <si>
    <t>１０その他未処分利益剰余金</t>
  </si>
  <si>
    <t xml:space="preserve">    変動額</t>
  </si>
  <si>
    <t>１１当年度未処分利益剰余金</t>
  </si>
  <si>
    <t>６　病 院 事 業</t>
  </si>
  <si>
    <t>(４) 貯    蔵    品</t>
  </si>
  <si>
    <t>(５) 短期有価証券</t>
  </si>
  <si>
    <t>ウ 減価償却累計額  (△)</t>
  </si>
  <si>
    <r>
      <t xml:space="preserve">(３) 貸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(</t>
    </r>
    <r>
      <rPr>
        <sz val="14"/>
        <rFont val="ＭＳ 明朝"/>
        <family val="1"/>
      </rPr>
      <t>△</t>
    </r>
    <r>
      <rPr>
        <sz val="14"/>
        <rFont val="ＭＳ 明朝"/>
        <family val="1"/>
      </rPr>
      <t>)</t>
    </r>
  </si>
  <si>
    <t xml:space="preserve"> ３ 繰    延    資    産</t>
  </si>
  <si>
    <t>(１) 建設改良等企業債</t>
  </si>
  <si>
    <t>(２) その他企業債</t>
  </si>
  <si>
    <t>(３) 建設改良等長期借入金</t>
  </si>
  <si>
    <r>
      <t>(４) その他長期</t>
    </r>
    <r>
      <rPr>
        <sz val="14"/>
        <rFont val="ＭＳ 明朝"/>
        <family val="1"/>
      </rPr>
      <t>借入金</t>
    </r>
  </si>
  <si>
    <t>(５) 引    当    金</t>
  </si>
  <si>
    <t>(６) リ ー ス 債 務</t>
  </si>
  <si>
    <r>
      <t>(７</t>
    </r>
    <r>
      <rPr>
        <sz val="14"/>
        <rFont val="ＭＳ 明朝"/>
        <family val="1"/>
      </rPr>
      <t>) 一 時 借 入 金</t>
    </r>
  </si>
  <si>
    <t>(８) 未払金・未払費用</t>
  </si>
  <si>
    <t>(９) そ    の    他</t>
  </si>
  <si>
    <t xml:space="preserve"> ７ 繰    延    収    益</t>
  </si>
  <si>
    <t>(１) 長　期　前　受　金</t>
  </si>
  <si>
    <r>
      <t xml:space="preserve">(２) </t>
    </r>
    <r>
      <rPr>
        <sz val="10"/>
        <rFont val="ＭＳ 明朝"/>
        <family val="1"/>
      </rPr>
      <t>長期前受金収益化累計額（△）</t>
    </r>
  </si>
  <si>
    <t xml:space="preserve"> ８ 負    債    合    計</t>
  </si>
  <si>
    <r>
      <t>0</t>
    </r>
    <r>
      <rPr>
        <sz val="14"/>
        <rFont val="ＭＳ 明朝"/>
        <family val="1"/>
      </rPr>
      <t>4_46列</t>
    </r>
  </si>
  <si>
    <t>　資　　本　　金</t>
  </si>
  <si>
    <r>
      <t>0</t>
    </r>
    <r>
      <rPr>
        <sz val="14"/>
        <rFont val="ＭＳ 明朝"/>
        <family val="1"/>
      </rPr>
      <t>4_51列</t>
    </r>
  </si>
  <si>
    <r>
      <t>0</t>
    </r>
    <r>
      <rPr>
        <sz val="14"/>
        <rFont val="ＭＳ 明朝"/>
        <family val="1"/>
      </rPr>
      <t>4_66列</t>
    </r>
  </si>
  <si>
    <r>
      <t>0</t>
    </r>
    <r>
      <rPr>
        <sz val="14"/>
        <rFont val="ＭＳ 明朝"/>
        <family val="1"/>
      </rPr>
      <t>4_08列</t>
    </r>
  </si>
  <si>
    <r>
      <t>0</t>
    </r>
    <r>
      <rPr>
        <sz val="14"/>
        <rFont val="ＭＳ 明朝"/>
        <family val="1"/>
      </rPr>
      <t>4_24列</t>
    </r>
  </si>
  <si>
    <r>
      <t>0</t>
    </r>
    <r>
      <rPr>
        <sz val="14"/>
        <rFont val="ＭＳ 明朝"/>
        <family val="1"/>
      </rPr>
      <t>4_16列</t>
    </r>
  </si>
  <si>
    <r>
      <t>0</t>
    </r>
    <r>
      <rPr>
        <sz val="14"/>
        <rFont val="ＭＳ 明朝"/>
        <family val="1"/>
      </rPr>
      <t>4_65列</t>
    </r>
  </si>
  <si>
    <r>
      <t>0</t>
    </r>
    <r>
      <rPr>
        <sz val="14"/>
        <rFont val="ＭＳ 明朝"/>
        <family val="1"/>
      </rPr>
      <t>2_08列</t>
    </r>
  </si>
  <si>
    <r>
      <t>02_25列</t>
    </r>
  </si>
  <si>
    <r>
      <t>0</t>
    </r>
    <r>
      <rPr>
        <sz val="14"/>
        <rFont val="ＭＳ 明朝"/>
        <family val="1"/>
      </rPr>
      <t>2_26列</t>
    </r>
  </si>
  <si>
    <r>
      <t>0</t>
    </r>
    <r>
      <rPr>
        <sz val="14"/>
        <rFont val="ＭＳ 明朝"/>
        <family val="1"/>
      </rPr>
      <t>2_15列</t>
    </r>
  </si>
  <si>
    <r>
      <t>0</t>
    </r>
    <r>
      <rPr>
        <sz val="14"/>
        <rFont val="ＭＳ 明朝"/>
        <family val="1"/>
      </rPr>
      <t>2_31列</t>
    </r>
  </si>
  <si>
    <r>
      <t>0</t>
    </r>
    <r>
      <rPr>
        <sz val="14"/>
        <rFont val="ＭＳ 明朝"/>
        <family val="1"/>
      </rPr>
      <t>4_64列</t>
    </r>
  </si>
  <si>
    <r>
      <t>0</t>
    </r>
    <r>
      <rPr>
        <sz val="14"/>
        <rFont val="ＭＳ 明朝"/>
        <family val="1"/>
      </rPr>
      <t>4_67列</t>
    </r>
  </si>
  <si>
    <r>
      <t>　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動 負 債 ・ 企 業 債</t>
    </r>
  </si>
  <si>
    <r>
      <t>0</t>
    </r>
    <r>
      <rPr>
        <sz val="14"/>
        <rFont val="ＭＳ 明朝"/>
        <family val="1"/>
      </rPr>
      <t>4_25列</t>
    </r>
  </si>
  <si>
    <r>
      <t>0</t>
    </r>
    <r>
      <rPr>
        <sz val="14"/>
        <rFont val="ＭＳ 明朝"/>
        <family val="1"/>
      </rPr>
      <t>4_33列</t>
    </r>
  </si>
  <si>
    <r>
      <t>0</t>
    </r>
    <r>
      <rPr>
        <sz val="14"/>
        <rFont val="ＭＳ 明朝"/>
        <family val="1"/>
      </rPr>
      <t>4_36列</t>
    </r>
  </si>
  <si>
    <t>04_34列</t>
  </si>
  <si>
    <r>
      <t>0</t>
    </r>
    <r>
      <rPr>
        <sz val="14"/>
        <rFont val="ＭＳ 明朝"/>
        <family val="1"/>
      </rPr>
      <t>2_32列</t>
    </r>
  </si>
  <si>
    <r>
      <t>0</t>
    </r>
    <r>
      <rPr>
        <sz val="14"/>
        <rFont val="ＭＳ 明朝"/>
        <family val="1"/>
      </rPr>
      <t>2_33列</t>
    </r>
  </si>
  <si>
    <r>
      <t>(</t>
    </r>
    <r>
      <rPr>
        <sz val="14"/>
        <rFont val="ＭＳ 明朝"/>
        <family val="1"/>
      </rPr>
      <t>22-01-67)</t>
    </r>
  </si>
  <si>
    <r>
      <t xml:space="preserve"> </t>
    </r>
    <r>
      <rPr>
        <sz val="14"/>
        <rFont val="ＭＳ 明朝"/>
        <family val="1"/>
      </rPr>
      <t xml:space="preserve"> その他有価証券評価差額金</t>
    </r>
  </si>
  <si>
    <t xml:space="preserve">  繰　延　資　産</t>
  </si>
  <si>
    <r>
      <t>04_2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列</t>
    </r>
  </si>
  <si>
    <t xml:space="preserve">  繰　延　収　益</t>
  </si>
  <si>
    <r>
      <t>04_42列</t>
    </r>
  </si>
  <si>
    <t>　　　　　　　　 長期借入金</t>
  </si>
  <si>
    <t>　　　　　　その他長期借入金</t>
  </si>
  <si>
    <t>04_30列</t>
  </si>
  <si>
    <r>
      <t>04_38列</t>
    </r>
  </si>
  <si>
    <t>リース債務</t>
  </si>
  <si>
    <t xml:space="preserve"> (４) 退  職  給  付  費</t>
  </si>
  <si>
    <t>(３) 投資その他の資産</t>
  </si>
  <si>
    <t>(２) 未収金及び未収収益</t>
  </si>
  <si>
    <t xml:space="preserve"> 結  核  医  療</t>
  </si>
  <si>
    <t xml:space="preserve"> 精  神  医  療</t>
  </si>
  <si>
    <r>
      <t xml:space="preserve"> 感</t>
    </r>
    <r>
      <rPr>
        <sz val="14"/>
        <rFont val="ＭＳ 明朝"/>
        <family val="1"/>
      </rPr>
      <t xml:space="preserve"> 染 症 医 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</si>
</sst>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  <numFmt numFmtId="191" formatCode="0.0;[Red]0.0"/>
    <numFmt numFmtId="192" formatCode="#,##0;&quot;△ &quot;#,##0"/>
    <numFmt numFmtId="193" formatCode="0_);\(0\)"/>
    <numFmt numFmtId="194" formatCode="#,##0_);\(#,##0\)"/>
  </numFmts>
  <fonts count="4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7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7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37" fontId="0" fillId="0" borderId="11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37" fontId="0" fillId="0" borderId="11" xfId="0" applyNumberFormat="1" applyBorder="1" applyAlignment="1" applyProtection="1">
      <alignment horizontal="center" vertical="center"/>
      <protection/>
    </xf>
    <xf numFmtId="37" fontId="0" fillId="0" borderId="12" xfId="0" applyNumberFormat="1" applyBorder="1" applyAlignment="1" applyProtection="1">
      <alignment horizontal="center" vertic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14" xfId="0" applyNumberFormat="1" applyBorder="1" applyAlignment="1" applyProtection="1">
      <alignment vertical="center"/>
      <protection/>
    </xf>
    <xf numFmtId="185" fontId="0" fillId="0" borderId="15" xfId="0" applyNumberFormat="1" applyBorder="1" applyAlignment="1" applyProtection="1">
      <alignment vertical="center"/>
      <protection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 applyProtection="1">
      <alignment vertical="center"/>
      <protection/>
    </xf>
    <xf numFmtId="185" fontId="0" fillId="0" borderId="12" xfId="0" applyNumberFormat="1" applyBorder="1" applyAlignment="1" applyProtection="1">
      <alignment vertical="center"/>
      <protection/>
    </xf>
    <xf numFmtId="185" fontId="0" fillId="0" borderId="16" xfId="0" applyNumberFormat="1" applyBorder="1" applyAlignment="1" applyProtection="1">
      <alignment vertical="center"/>
      <protection/>
    </xf>
    <xf numFmtId="185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185" fontId="0" fillId="0" borderId="19" xfId="0" applyNumberFormat="1" applyBorder="1" applyAlignment="1" applyProtection="1">
      <alignment vertical="center"/>
      <protection/>
    </xf>
    <xf numFmtId="185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5" fontId="0" fillId="0" borderId="22" xfId="0" applyNumberFormat="1" applyBorder="1" applyAlignment="1" applyProtection="1">
      <alignment vertical="center"/>
      <protection/>
    </xf>
    <xf numFmtId="186" fontId="0" fillId="0" borderId="23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15" xfId="0" applyNumberFormat="1" applyBorder="1" applyAlignment="1" applyProtection="1">
      <alignment vertical="center"/>
      <protection/>
    </xf>
    <xf numFmtId="186" fontId="0" fillId="0" borderId="25" xfId="0" applyNumberFormat="1" applyBorder="1" applyAlignment="1">
      <alignment vertical="center"/>
    </xf>
    <xf numFmtId="186" fontId="0" fillId="0" borderId="26" xfId="0" applyNumberFormat="1" applyBorder="1" applyAlignment="1">
      <alignment vertical="center"/>
    </xf>
    <xf numFmtId="186" fontId="0" fillId="0" borderId="11" xfId="0" applyNumberFormat="1" applyBorder="1" applyAlignment="1" applyProtection="1">
      <alignment vertical="center"/>
      <protection/>
    </xf>
    <xf numFmtId="0" fontId="0" fillId="0" borderId="2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28" xfId="0" applyNumberFormat="1" applyBorder="1" applyAlignment="1">
      <alignment vertical="center" shrinkToFit="1"/>
    </xf>
    <xf numFmtId="0" fontId="0" fillId="0" borderId="22" xfId="0" applyNumberFormat="1" applyBorder="1" applyAlignment="1">
      <alignment vertical="center" shrinkToFi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49" fontId="0" fillId="0" borderId="13" xfId="0" applyNumberFormat="1" applyFill="1" applyBorder="1" applyAlignment="1" applyProtection="1">
      <alignment horizontal="center" vertical="center" shrinkToFit="1"/>
      <protection/>
    </xf>
    <xf numFmtId="186" fontId="0" fillId="0" borderId="17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33" xfId="0" applyNumberFormat="1" applyBorder="1" applyAlignment="1">
      <alignment vertical="center"/>
    </xf>
    <xf numFmtId="186" fontId="0" fillId="0" borderId="34" xfId="0" applyNumberFormat="1" applyBorder="1" applyAlignment="1" applyProtection="1">
      <alignment vertical="center"/>
      <protection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27" xfId="0" applyNumberFormat="1" applyBorder="1" applyAlignment="1" applyProtection="1">
      <alignment vertical="center"/>
      <protection/>
    </xf>
    <xf numFmtId="0" fontId="0" fillId="0" borderId="27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27" xfId="0" applyNumberFormat="1" applyBorder="1" applyAlignment="1">
      <alignment horizontal="center" vertical="top"/>
    </xf>
    <xf numFmtId="0" fontId="0" fillId="0" borderId="0" xfId="66" applyFill="1" applyAlignment="1">
      <alignment vertical="center"/>
      <protection/>
    </xf>
    <xf numFmtId="0" fontId="0" fillId="0" borderId="30" xfId="66" applyFill="1" applyBorder="1" applyAlignment="1">
      <alignment vertical="center"/>
      <protection/>
    </xf>
    <xf numFmtId="0" fontId="0" fillId="0" borderId="27" xfId="66" applyFill="1" applyBorder="1" applyAlignment="1">
      <alignment vertical="center"/>
      <protection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vertical="center" shrinkToFit="1"/>
    </xf>
    <xf numFmtId="0" fontId="0" fillId="0" borderId="29" xfId="66" applyFill="1" applyBorder="1" applyAlignment="1">
      <alignment vertical="center"/>
      <protection/>
    </xf>
    <xf numFmtId="0" fontId="0" fillId="0" borderId="29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 shrinkToFit="1"/>
    </xf>
    <xf numFmtId="0" fontId="0" fillId="0" borderId="27" xfId="66" applyFont="1" applyFill="1" applyBorder="1" applyAlignment="1">
      <alignment vertical="center"/>
      <protection/>
    </xf>
    <xf numFmtId="0" fontId="0" fillId="0" borderId="19" xfId="66" applyFill="1" applyBorder="1" applyAlignment="1">
      <alignment vertical="center"/>
      <protection/>
    </xf>
    <xf numFmtId="187" fontId="0" fillId="0" borderId="35" xfId="66" applyNumberFormat="1" applyFill="1" applyBorder="1" applyAlignment="1" applyProtection="1">
      <alignment vertical="center"/>
      <protection/>
    </xf>
    <xf numFmtId="187" fontId="0" fillId="0" borderId="36" xfId="66" applyNumberFormat="1" applyFill="1" applyBorder="1" applyAlignment="1" applyProtection="1">
      <alignment vertical="center"/>
      <protection/>
    </xf>
    <xf numFmtId="187" fontId="0" fillId="0" borderId="11" xfId="66" applyNumberFormat="1" applyFill="1" applyBorder="1" applyAlignment="1" applyProtection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37" xfId="66" applyFill="1" applyBorder="1" applyAlignment="1">
      <alignment vertical="center"/>
      <protection/>
    </xf>
    <xf numFmtId="187" fontId="0" fillId="0" borderId="16" xfId="66" applyNumberFormat="1" applyFill="1" applyBorder="1" applyAlignment="1" applyProtection="1">
      <alignment vertical="center"/>
      <protection/>
    </xf>
    <xf numFmtId="187" fontId="0" fillId="0" borderId="38" xfId="66" applyNumberFormat="1" applyFill="1" applyBorder="1" applyAlignment="1" applyProtection="1">
      <alignment vertical="center"/>
      <protection/>
    </xf>
    <xf numFmtId="187" fontId="0" fillId="0" borderId="15" xfId="66" applyNumberFormat="1" applyFill="1" applyBorder="1" applyAlignment="1" applyProtection="1">
      <alignment vertical="center"/>
      <protection/>
    </xf>
    <xf numFmtId="0" fontId="0" fillId="0" borderId="37" xfId="66" applyFont="1" applyFill="1" applyBorder="1" applyAlignment="1">
      <alignment vertical="center"/>
      <protection/>
    </xf>
    <xf numFmtId="0" fontId="0" fillId="0" borderId="19" xfId="66" applyFont="1" applyFill="1" applyBorder="1" applyAlignment="1">
      <alignment vertical="center"/>
      <protection/>
    </xf>
    <xf numFmtId="187" fontId="0" fillId="0" borderId="39" xfId="66" applyNumberFormat="1" applyFill="1" applyBorder="1" applyAlignment="1" applyProtection="1">
      <alignment vertical="center"/>
      <protection/>
    </xf>
    <xf numFmtId="187" fontId="0" fillId="0" borderId="33" xfId="66" applyNumberFormat="1" applyFill="1" applyBorder="1" applyAlignment="1" applyProtection="1">
      <alignment vertical="center"/>
      <protection/>
    </xf>
    <xf numFmtId="187" fontId="0" fillId="0" borderId="40" xfId="66" applyNumberFormat="1" applyFill="1" applyBorder="1" applyAlignment="1" applyProtection="1">
      <alignment vertical="center"/>
      <protection/>
    </xf>
    <xf numFmtId="0" fontId="0" fillId="0" borderId="10" xfId="66" applyFill="1" applyBorder="1" applyAlignment="1">
      <alignment vertical="center"/>
      <protection/>
    </xf>
    <xf numFmtId="187" fontId="0" fillId="0" borderId="41" xfId="66" applyNumberFormat="1" applyFill="1" applyBorder="1" applyAlignment="1" applyProtection="1">
      <alignment vertical="center"/>
      <protection/>
    </xf>
    <xf numFmtId="187" fontId="0" fillId="0" borderId="42" xfId="66" applyNumberFormat="1" applyFill="1" applyBorder="1" applyAlignment="1" applyProtection="1">
      <alignment vertical="center"/>
      <protection/>
    </xf>
    <xf numFmtId="187" fontId="0" fillId="0" borderId="28" xfId="66" applyNumberFormat="1" applyFill="1" applyBorder="1" applyAlignment="1" applyProtection="1">
      <alignment vertical="center"/>
      <protection/>
    </xf>
    <xf numFmtId="187" fontId="0" fillId="0" borderId="42" xfId="66" applyNumberFormat="1" applyFill="1" applyBorder="1" applyAlignment="1">
      <alignment vertical="center"/>
      <protection/>
    </xf>
    <xf numFmtId="0" fontId="0" fillId="0" borderId="27" xfId="66" applyFill="1" applyBorder="1" applyAlignment="1">
      <alignment/>
      <protection/>
    </xf>
    <xf numFmtId="0" fontId="0" fillId="0" borderId="0" xfId="66" applyFill="1" applyAlignment="1">
      <alignment/>
      <protection/>
    </xf>
    <xf numFmtId="0" fontId="0" fillId="0" borderId="10" xfId="66" applyFont="1" applyFill="1" applyBorder="1" applyAlignment="1">
      <alignment vertical="top"/>
      <protection/>
    </xf>
    <xf numFmtId="0" fontId="0" fillId="0" borderId="19" xfId="66" applyFill="1" applyBorder="1" applyAlignment="1">
      <alignment vertical="top"/>
      <protection/>
    </xf>
    <xf numFmtId="187" fontId="0" fillId="0" borderId="39" xfId="66" applyNumberFormat="1" applyFill="1" applyBorder="1" applyAlignment="1" applyProtection="1">
      <alignment vertical="top"/>
      <protection/>
    </xf>
    <xf numFmtId="187" fontId="0" fillId="0" borderId="33" xfId="66" applyNumberFormat="1" applyFill="1" applyBorder="1" applyAlignment="1" applyProtection="1">
      <alignment vertical="top"/>
      <protection/>
    </xf>
    <xf numFmtId="187" fontId="0" fillId="0" borderId="43" xfId="66" applyNumberFormat="1" applyFill="1" applyBorder="1" applyAlignment="1" applyProtection="1">
      <alignment vertical="top"/>
      <protection/>
    </xf>
    <xf numFmtId="0" fontId="0" fillId="0" borderId="29" xfId="66" applyFill="1" applyBorder="1" applyAlignment="1">
      <alignment vertical="top"/>
      <protection/>
    </xf>
    <xf numFmtId="0" fontId="0" fillId="0" borderId="30" xfId="66" applyFill="1" applyBorder="1" applyAlignment="1">
      <alignment vertical="top"/>
      <protection/>
    </xf>
    <xf numFmtId="187" fontId="0" fillId="0" borderId="44" xfId="66" applyNumberFormat="1" applyFill="1" applyBorder="1" applyAlignment="1" applyProtection="1">
      <alignment vertical="top"/>
      <protection/>
    </xf>
    <xf numFmtId="187" fontId="0" fillId="0" borderId="45" xfId="66" applyNumberFormat="1" applyFill="1" applyBorder="1" applyAlignment="1" applyProtection="1">
      <alignment vertical="top"/>
      <protection/>
    </xf>
    <xf numFmtId="187" fontId="0" fillId="0" borderId="45" xfId="66" applyNumberFormat="1" applyFill="1" applyBorder="1" applyAlignment="1">
      <alignment vertical="top"/>
      <protection/>
    </xf>
    <xf numFmtId="187" fontId="0" fillId="0" borderId="46" xfId="66" applyNumberFormat="1" applyFill="1" applyBorder="1" applyAlignment="1" applyProtection="1">
      <alignment vertical="top"/>
      <protection/>
    </xf>
    <xf numFmtId="0" fontId="8" fillId="0" borderId="0" xfId="66" applyFont="1" applyFill="1" applyAlignment="1">
      <alignment vertical="center"/>
      <protection/>
    </xf>
    <xf numFmtId="0" fontId="0" fillId="0" borderId="30" xfId="66" applyFill="1" applyBorder="1" applyAlignment="1">
      <alignment horizontal="right"/>
      <protection/>
    </xf>
    <xf numFmtId="0" fontId="0" fillId="0" borderId="29" xfId="0" applyNumberFormat="1" applyFill="1" applyBorder="1" applyAlignment="1">
      <alignment vertical="center" shrinkToFit="1"/>
    </xf>
    <xf numFmtId="0" fontId="0" fillId="0" borderId="0" xfId="65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0" fillId="0" borderId="30" xfId="65" applyFill="1" applyBorder="1" applyAlignment="1">
      <alignment vertical="center"/>
      <protection/>
    </xf>
    <xf numFmtId="0" fontId="0" fillId="0" borderId="30" xfId="65" applyFill="1" applyBorder="1" applyAlignment="1">
      <alignment horizontal="right"/>
      <protection/>
    </xf>
    <xf numFmtId="0" fontId="0" fillId="0" borderId="27" xfId="65" applyFill="1" applyBorder="1" applyAlignment="1">
      <alignment vertical="center"/>
      <protection/>
    </xf>
    <xf numFmtId="0" fontId="0" fillId="0" borderId="29" xfId="65" applyFill="1" applyBorder="1" applyAlignment="1">
      <alignment vertical="center"/>
      <protection/>
    </xf>
    <xf numFmtId="0" fontId="0" fillId="0" borderId="27" xfId="65" applyFill="1" applyBorder="1" applyAlignment="1">
      <alignment horizontal="center" vertical="center"/>
      <protection/>
    </xf>
    <xf numFmtId="0" fontId="0" fillId="0" borderId="15" xfId="65" applyFill="1" applyBorder="1" applyAlignment="1">
      <alignment vertical="center"/>
      <protection/>
    </xf>
    <xf numFmtId="0" fontId="0" fillId="0" borderId="37" xfId="65" applyFill="1" applyBorder="1" applyAlignment="1">
      <alignment vertical="center"/>
      <protection/>
    </xf>
    <xf numFmtId="187" fontId="0" fillId="0" borderId="47" xfId="65" applyNumberFormat="1" applyFill="1" applyBorder="1" applyAlignment="1" applyProtection="1">
      <alignment vertical="center"/>
      <protection/>
    </xf>
    <xf numFmtId="187" fontId="0" fillId="0" borderId="48" xfId="65" applyNumberFormat="1" applyFill="1" applyBorder="1" applyAlignment="1" applyProtection="1">
      <alignment vertical="center"/>
      <protection/>
    </xf>
    <xf numFmtId="187" fontId="0" fillId="0" borderId="15" xfId="65" applyNumberFormat="1" applyFill="1" applyBorder="1" applyAlignment="1" applyProtection="1">
      <alignment vertical="center"/>
      <protection/>
    </xf>
    <xf numFmtId="187" fontId="0" fillId="0" borderId="14" xfId="65" applyNumberFormat="1" applyFill="1" applyBorder="1" applyAlignment="1" applyProtection="1">
      <alignment vertical="center"/>
      <protection/>
    </xf>
    <xf numFmtId="187" fontId="0" fillId="0" borderId="38" xfId="65" applyNumberFormat="1" applyFill="1" applyBorder="1" applyAlignment="1" applyProtection="1">
      <alignment vertical="center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11" xfId="65" applyFill="1" applyBorder="1" applyAlignment="1">
      <alignment vertical="center"/>
      <protection/>
    </xf>
    <xf numFmtId="0" fontId="0" fillId="0" borderId="19" xfId="65" applyFill="1" applyBorder="1" applyAlignment="1">
      <alignment vertical="center"/>
      <protection/>
    </xf>
    <xf numFmtId="187" fontId="0" fillId="0" borderId="10" xfId="65" applyNumberFormat="1" applyFill="1" applyBorder="1" applyAlignment="1" applyProtection="1">
      <alignment vertical="center"/>
      <protection/>
    </xf>
    <xf numFmtId="187" fontId="0" fillId="0" borderId="33" xfId="65" applyNumberFormat="1" applyFill="1" applyBorder="1" applyAlignment="1" applyProtection="1">
      <alignment vertical="center"/>
      <protection/>
    </xf>
    <xf numFmtId="187" fontId="0" fillId="0" borderId="11" xfId="65" applyNumberFormat="1" applyFill="1" applyBorder="1" applyAlignment="1" applyProtection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10" xfId="65" applyFill="1" applyBorder="1" applyAlignment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28" xfId="65" applyFill="1" applyBorder="1" applyAlignment="1">
      <alignment horizontal="center" vertical="center"/>
      <protection/>
    </xf>
    <xf numFmtId="0" fontId="0" fillId="0" borderId="28" xfId="65" applyFont="1" applyFill="1" applyBorder="1" applyAlignment="1">
      <alignment horizontal="distributed" vertical="center"/>
      <protection/>
    </xf>
    <xf numFmtId="0" fontId="0" fillId="0" borderId="27" xfId="65" applyFill="1" applyBorder="1" applyAlignment="1">
      <alignment horizontal="distributed"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horizontal="right" vertical="center"/>
      <protection/>
    </xf>
    <xf numFmtId="0" fontId="0" fillId="0" borderId="10" xfId="65" applyFont="1" applyFill="1" applyBorder="1" applyAlignment="1">
      <alignment horizontal="right" vertical="center"/>
      <protection/>
    </xf>
    <xf numFmtId="0" fontId="0" fillId="0" borderId="28" xfId="65" applyFill="1" applyBorder="1" applyAlignment="1">
      <alignment vertical="center"/>
      <protection/>
    </xf>
    <xf numFmtId="187" fontId="0" fillId="0" borderId="27" xfId="65" applyNumberFormat="1" applyFill="1" applyBorder="1" applyAlignment="1" applyProtection="1">
      <alignment vertical="center"/>
      <protection/>
    </xf>
    <xf numFmtId="187" fontId="0" fillId="0" borderId="42" xfId="65" applyNumberFormat="1" applyFill="1" applyBorder="1" applyAlignment="1" applyProtection="1">
      <alignment vertical="center"/>
      <protection/>
    </xf>
    <xf numFmtId="187" fontId="0" fillId="0" borderId="28" xfId="65" applyNumberFormat="1" applyFill="1" applyBorder="1" applyAlignment="1" applyProtection="1">
      <alignment vertical="center"/>
      <protection/>
    </xf>
    <xf numFmtId="0" fontId="0" fillId="0" borderId="33" xfId="65" applyFill="1" applyBorder="1" applyAlignment="1">
      <alignment vertical="center"/>
      <protection/>
    </xf>
    <xf numFmtId="0" fontId="0" fillId="0" borderId="49" xfId="65" applyFont="1" applyFill="1" applyBorder="1" applyAlignment="1">
      <alignment horizontal="center" vertical="center"/>
      <protection/>
    </xf>
    <xf numFmtId="187" fontId="0" fillId="0" borderId="50" xfId="65" applyNumberFormat="1" applyFill="1" applyBorder="1" applyAlignment="1" applyProtection="1">
      <alignment vertical="center"/>
      <protection/>
    </xf>
    <xf numFmtId="187" fontId="0" fillId="0" borderId="51" xfId="65" applyNumberFormat="1" applyFill="1" applyBorder="1" applyAlignment="1" applyProtection="1">
      <alignment vertical="center"/>
      <protection/>
    </xf>
    <xf numFmtId="187" fontId="0" fillId="0" borderId="52" xfId="65" applyNumberFormat="1" applyFill="1" applyBorder="1" applyAlignment="1" applyProtection="1">
      <alignment vertical="center"/>
      <protection/>
    </xf>
    <xf numFmtId="0" fontId="0" fillId="0" borderId="45" xfId="65" applyFill="1" applyBorder="1" applyAlignment="1">
      <alignment vertical="center"/>
      <protection/>
    </xf>
    <xf numFmtId="0" fontId="0" fillId="0" borderId="53" xfId="65" applyFont="1" applyFill="1" applyBorder="1" applyAlignment="1">
      <alignment horizontal="center" vertical="center"/>
      <protection/>
    </xf>
    <xf numFmtId="187" fontId="0" fillId="0" borderId="54" xfId="65" applyNumberFormat="1" applyFill="1" applyBorder="1" applyAlignment="1" applyProtection="1">
      <alignment vertical="center"/>
      <protection/>
    </xf>
    <xf numFmtId="187" fontId="0" fillId="0" borderId="55" xfId="65" applyNumberFormat="1" applyFill="1" applyBorder="1" applyAlignment="1" applyProtection="1">
      <alignment vertical="center"/>
      <protection/>
    </xf>
    <xf numFmtId="187" fontId="0" fillId="0" borderId="56" xfId="65" applyNumberFormat="1" applyFill="1" applyBorder="1" applyAlignment="1" applyProtection="1">
      <alignment vertical="center"/>
      <protection/>
    </xf>
    <xf numFmtId="0" fontId="0" fillId="0" borderId="27" xfId="67" applyFont="1" applyFill="1" applyBorder="1" applyAlignment="1">
      <alignment vertical="center"/>
      <protection/>
    </xf>
    <xf numFmtId="0" fontId="0" fillId="0" borderId="19" xfId="67" applyFill="1" applyBorder="1" applyAlignment="1">
      <alignment vertical="center"/>
      <protection/>
    </xf>
    <xf numFmtId="0" fontId="0" fillId="0" borderId="27" xfId="67" applyFill="1" applyBorder="1" applyAlignment="1">
      <alignment vertical="center"/>
      <protection/>
    </xf>
    <xf numFmtId="0" fontId="0" fillId="0" borderId="0" xfId="67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0" fillId="0" borderId="30" xfId="67" applyFill="1" applyBorder="1" applyAlignment="1">
      <alignment vertical="center"/>
      <protection/>
    </xf>
    <xf numFmtId="0" fontId="0" fillId="0" borderId="30" xfId="67" applyFill="1" applyBorder="1" applyAlignment="1">
      <alignment horizontal="right"/>
      <protection/>
    </xf>
    <xf numFmtId="0" fontId="0" fillId="0" borderId="28" xfId="67" applyFill="1" applyBorder="1" applyAlignment="1">
      <alignment vertical="center"/>
      <protection/>
    </xf>
    <xf numFmtId="0" fontId="0" fillId="0" borderId="28" xfId="67" applyFill="1" applyBorder="1" applyAlignment="1">
      <alignment horizontal="center" vertical="center"/>
      <protection/>
    </xf>
    <xf numFmtId="0" fontId="0" fillId="0" borderId="29" xfId="67" applyFill="1" applyBorder="1" applyAlignment="1">
      <alignment vertical="center"/>
      <protection/>
    </xf>
    <xf numFmtId="0" fontId="0" fillId="0" borderId="22" xfId="67" applyFill="1" applyBorder="1" applyAlignment="1">
      <alignment vertical="center"/>
      <protection/>
    </xf>
    <xf numFmtId="187" fontId="0" fillId="0" borderId="10" xfId="67" applyNumberFormat="1" applyFill="1" applyBorder="1" applyAlignment="1" applyProtection="1">
      <alignment vertical="center"/>
      <protection/>
    </xf>
    <xf numFmtId="187" fontId="0" fillId="0" borderId="11" xfId="67" applyNumberFormat="1" applyFill="1" applyBorder="1" applyAlignment="1" applyProtection="1">
      <alignment vertical="center"/>
      <protection/>
    </xf>
    <xf numFmtId="187" fontId="0" fillId="0" borderId="57" xfId="67" applyNumberFormat="1" applyFill="1" applyBorder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37" xfId="67" applyFill="1" applyBorder="1" applyAlignment="1">
      <alignment vertical="center"/>
      <protection/>
    </xf>
    <xf numFmtId="187" fontId="0" fillId="0" borderId="23" xfId="67" applyNumberFormat="1" applyFill="1" applyBorder="1" applyAlignment="1" applyProtection="1">
      <alignment vertical="center"/>
      <protection/>
    </xf>
    <xf numFmtId="187" fontId="0" fillId="0" borderId="58" xfId="67" applyNumberFormat="1" applyFill="1" applyBorder="1" applyAlignment="1" applyProtection="1">
      <alignment vertical="center"/>
      <protection/>
    </xf>
    <xf numFmtId="187" fontId="0" fillId="0" borderId="59" xfId="67" applyNumberFormat="1" applyFill="1" applyBorder="1" applyAlignment="1" applyProtection="1">
      <alignment vertical="center"/>
      <protection/>
    </xf>
    <xf numFmtId="187" fontId="0" fillId="0" borderId="25" xfId="67" applyNumberFormat="1" applyFill="1" applyBorder="1" applyAlignment="1" applyProtection="1">
      <alignment vertical="center"/>
      <protection/>
    </xf>
    <xf numFmtId="187" fontId="0" fillId="0" borderId="60" xfId="67" applyNumberFormat="1" applyFill="1" applyBorder="1" applyAlignment="1" applyProtection="1">
      <alignment vertical="center"/>
      <protection/>
    </xf>
    <xf numFmtId="187" fontId="0" fillId="0" borderId="34" xfId="67" applyNumberFormat="1" applyFill="1" applyBorder="1" applyAlignment="1" applyProtection="1">
      <alignment vertical="center"/>
      <protection/>
    </xf>
    <xf numFmtId="0" fontId="0" fillId="0" borderId="19" xfId="67" applyFont="1" applyFill="1" applyBorder="1" applyAlignment="1">
      <alignment vertical="center"/>
      <protection/>
    </xf>
    <xf numFmtId="187" fontId="0" fillId="0" borderId="50" xfId="67" applyNumberFormat="1" applyFill="1" applyBorder="1" applyAlignment="1" applyProtection="1">
      <alignment vertical="center"/>
      <protection/>
    </xf>
    <xf numFmtId="187" fontId="0" fillId="0" borderId="49" xfId="67" applyNumberFormat="1" applyFill="1" applyBorder="1" applyAlignment="1" applyProtection="1">
      <alignment vertical="center"/>
      <protection/>
    </xf>
    <xf numFmtId="187" fontId="0" fillId="0" borderId="52" xfId="67" applyNumberFormat="1" applyFill="1" applyBorder="1" applyAlignment="1" applyProtection="1">
      <alignment vertical="center"/>
      <protection/>
    </xf>
    <xf numFmtId="0" fontId="0" fillId="0" borderId="10" xfId="67" applyFill="1" applyBorder="1" applyAlignment="1">
      <alignment vertical="center"/>
      <protection/>
    </xf>
    <xf numFmtId="187" fontId="0" fillId="0" borderId="61" xfId="67" applyNumberFormat="1" applyFill="1" applyBorder="1" applyAlignment="1" applyProtection="1">
      <alignment vertical="center"/>
      <protection/>
    </xf>
    <xf numFmtId="0" fontId="0" fillId="0" borderId="10" xfId="67" applyFont="1" applyFill="1" applyBorder="1" applyAlignment="1">
      <alignment vertical="center"/>
      <protection/>
    </xf>
    <xf numFmtId="187" fontId="0" fillId="0" borderId="14" xfId="67" applyNumberFormat="1" applyFill="1" applyBorder="1" applyAlignment="1" applyProtection="1">
      <alignment vertical="center"/>
      <protection/>
    </xf>
    <xf numFmtId="187" fontId="0" fillId="0" borderId="15" xfId="67" applyNumberFormat="1" applyFill="1" applyBorder="1" applyAlignment="1" applyProtection="1">
      <alignment vertical="center"/>
      <protection/>
    </xf>
    <xf numFmtId="0" fontId="0" fillId="0" borderId="37" xfId="67" applyFont="1" applyFill="1" applyBorder="1" applyAlignment="1">
      <alignment vertical="center"/>
      <protection/>
    </xf>
    <xf numFmtId="187" fontId="0" fillId="0" borderId="29" xfId="67" applyNumberFormat="1" applyFill="1" applyBorder="1" applyAlignment="1" applyProtection="1">
      <alignment vertical="center"/>
      <protection/>
    </xf>
    <xf numFmtId="187" fontId="0" fillId="0" borderId="22" xfId="67" applyNumberFormat="1" applyFill="1" applyBorder="1" applyAlignment="1" applyProtection="1">
      <alignment vertical="center"/>
      <protection/>
    </xf>
    <xf numFmtId="187" fontId="0" fillId="0" borderId="62" xfId="67" applyNumberFormat="1" applyFill="1" applyBorder="1" applyAlignment="1" applyProtection="1">
      <alignment vertical="center"/>
      <protection/>
    </xf>
    <xf numFmtId="0" fontId="8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30" xfId="63" applyBorder="1" applyAlignment="1">
      <alignment vertical="center"/>
      <protection/>
    </xf>
    <xf numFmtId="0" fontId="0" fillId="0" borderId="27" xfId="63" applyBorder="1" applyAlignment="1">
      <alignment vertical="center"/>
      <protection/>
    </xf>
    <xf numFmtId="0" fontId="0" fillId="0" borderId="29" xfId="63" applyBorder="1" applyAlignment="1">
      <alignment vertical="center"/>
      <protection/>
    </xf>
    <xf numFmtId="0" fontId="0" fillId="0" borderId="63" xfId="63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9" xfId="63" applyBorder="1" applyAlignment="1">
      <alignment vertical="center"/>
      <protection/>
    </xf>
    <xf numFmtId="180" fontId="0" fillId="0" borderId="10" xfId="63" applyNumberFormat="1" applyBorder="1" applyAlignment="1" applyProtection="1">
      <alignment vertical="center"/>
      <protection/>
    </xf>
    <xf numFmtId="180" fontId="0" fillId="0" borderId="11" xfId="63" applyNumberFormat="1" applyBorder="1" applyAlignment="1" applyProtection="1">
      <alignment vertical="center"/>
      <protection/>
    </xf>
    <xf numFmtId="3" fontId="0" fillId="0" borderId="0" xfId="63" applyNumberFormat="1" applyAlignment="1">
      <alignment vertical="center"/>
      <protection/>
    </xf>
    <xf numFmtId="37" fontId="0" fillId="0" borderId="10" xfId="63" applyNumberFormat="1" applyBorder="1" applyAlignment="1" applyProtection="1">
      <alignment vertical="center"/>
      <protection/>
    </xf>
    <xf numFmtId="37" fontId="0" fillId="0" borderId="11" xfId="63" applyNumberFormat="1" applyBorder="1" applyAlignment="1" applyProtection="1">
      <alignment vertical="center"/>
      <protection/>
    </xf>
    <xf numFmtId="0" fontId="0" fillId="0" borderId="27" xfId="63" applyFont="1" applyBorder="1" applyAlignment="1">
      <alignment vertical="center"/>
      <protection/>
    </xf>
    <xf numFmtId="37" fontId="0" fillId="0" borderId="10" xfId="63" applyNumberFormat="1" applyFont="1" applyBorder="1" applyAlignment="1" applyProtection="1">
      <alignment vertical="center"/>
      <protection/>
    </xf>
    <xf numFmtId="3" fontId="0" fillId="0" borderId="11" xfId="63" applyNumberFormat="1" applyBorder="1" applyAlignment="1" applyProtection="1">
      <alignment horizontal="right" vertical="center"/>
      <protection/>
    </xf>
    <xf numFmtId="0" fontId="0" fillId="0" borderId="15" xfId="63" applyFont="1" applyBorder="1" applyAlignment="1">
      <alignment vertical="center"/>
      <protection/>
    </xf>
    <xf numFmtId="37" fontId="0" fillId="0" borderId="14" xfId="63" applyNumberFormat="1" applyBorder="1" applyAlignment="1" applyProtection="1">
      <alignment vertical="center"/>
      <protection/>
    </xf>
    <xf numFmtId="37" fontId="0" fillId="0" borderId="15" xfId="63" applyNumberFormat="1" applyBorder="1" applyAlignment="1" applyProtection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15" xfId="63" applyBorder="1" applyAlignment="1">
      <alignment vertical="center"/>
      <protection/>
    </xf>
    <xf numFmtId="3" fontId="0" fillId="0" borderId="59" xfId="63" applyNumberFormat="1" applyBorder="1" applyAlignment="1" applyProtection="1">
      <alignment horizontal="right" vertical="center"/>
      <protection/>
    </xf>
    <xf numFmtId="0" fontId="0" fillId="0" borderId="11" xfId="63" applyBorder="1" applyAlignment="1">
      <alignment vertical="center"/>
      <protection/>
    </xf>
    <xf numFmtId="180" fontId="0" fillId="0" borderId="14" xfId="63" applyNumberFormat="1" applyBorder="1" applyAlignment="1" applyProtection="1">
      <alignment vertical="center"/>
      <protection/>
    </xf>
    <xf numFmtId="180" fontId="0" fillId="0" borderId="15" xfId="63" applyNumberFormat="1" applyBorder="1" applyAlignment="1" applyProtection="1">
      <alignment vertical="center"/>
      <protection/>
    </xf>
    <xf numFmtId="180" fontId="0" fillId="0" borderId="28" xfId="63" applyNumberFormat="1" applyBorder="1" applyAlignment="1" applyProtection="1">
      <alignment vertical="center"/>
      <protection/>
    </xf>
    <xf numFmtId="180" fontId="0" fillId="0" borderId="34" xfId="63" applyNumberFormat="1" applyBorder="1" applyAlignment="1" applyProtection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180" fontId="0" fillId="0" borderId="27" xfId="63" applyNumberFormat="1" applyBorder="1" applyAlignment="1" applyProtection="1">
      <alignment vertical="center"/>
      <protection/>
    </xf>
    <xf numFmtId="3" fontId="0" fillId="0" borderId="11" xfId="63" applyNumberFormat="1" applyBorder="1" applyAlignment="1" applyProtection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19" xfId="63" applyFill="1" applyBorder="1" applyAlignment="1">
      <alignment vertical="center"/>
      <protection/>
    </xf>
    <xf numFmtId="180" fontId="0" fillId="0" borderId="10" xfId="63" applyNumberFormat="1" applyFill="1" applyBorder="1" applyAlignment="1" applyProtection="1">
      <alignment vertical="center"/>
      <protection/>
    </xf>
    <xf numFmtId="180" fontId="0" fillId="0" borderId="11" xfId="63" applyNumberFormat="1" applyFill="1" applyBorder="1" applyAlignment="1" applyProtection="1">
      <alignment vertical="center"/>
      <protection/>
    </xf>
    <xf numFmtId="0" fontId="0" fillId="0" borderId="27" xfId="63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3" fontId="0" fillId="0" borderId="0" xfId="63" applyNumberFormat="1" applyFill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180" fontId="0" fillId="0" borderId="10" xfId="63" applyNumberFormat="1" applyFont="1" applyFill="1" applyBorder="1" applyAlignment="1" applyProtection="1">
      <alignment vertical="center"/>
      <protection/>
    </xf>
    <xf numFmtId="180" fontId="0" fillId="0" borderId="11" xfId="63" applyNumberFormat="1" applyFont="1" applyFill="1" applyBorder="1" applyAlignment="1" applyProtection="1">
      <alignment vertical="center"/>
      <protection/>
    </xf>
    <xf numFmtId="176" fontId="0" fillId="0" borderId="11" xfId="63" applyNumberFormat="1" applyFill="1" applyBorder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176" fontId="0" fillId="0" borderId="0" xfId="0" applyFont="1" applyFill="1" applyAlignment="1">
      <alignment vertical="center"/>
    </xf>
    <xf numFmtId="0" fontId="0" fillId="0" borderId="64" xfId="65" applyFont="1" applyFill="1" applyBorder="1" applyAlignment="1" quotePrefix="1">
      <alignment horizontal="left" vertical="center"/>
      <protection/>
    </xf>
    <xf numFmtId="0" fontId="0" fillId="0" borderId="65" xfId="65" applyFont="1" applyFill="1" applyBorder="1" applyAlignment="1" quotePrefix="1">
      <alignment horizontal="left" vertical="center"/>
      <protection/>
    </xf>
    <xf numFmtId="0" fontId="0" fillId="0" borderId="64" xfId="67" applyFont="1" applyFill="1" applyBorder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0" fillId="0" borderId="0" xfId="64" applyFill="1" applyAlignment="1">
      <alignment vertical="center"/>
      <protection/>
    </xf>
    <xf numFmtId="0" fontId="0" fillId="0" borderId="30" xfId="64" applyFill="1" applyBorder="1" applyAlignment="1">
      <alignment vertical="center"/>
      <protection/>
    </xf>
    <xf numFmtId="0" fontId="0" fillId="0" borderId="30" xfId="64" applyFill="1" applyBorder="1" applyAlignment="1">
      <alignment horizontal="right"/>
      <protection/>
    </xf>
    <xf numFmtId="0" fontId="0" fillId="0" borderId="27" xfId="64" applyFill="1" applyBorder="1" applyAlignment="1">
      <alignment vertical="center"/>
      <protection/>
    </xf>
    <xf numFmtId="0" fontId="0" fillId="0" borderId="29" xfId="64" applyFill="1" applyBorder="1" applyAlignment="1">
      <alignment vertical="center"/>
      <protection/>
    </xf>
    <xf numFmtId="0" fontId="0" fillId="0" borderId="63" xfId="64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37" xfId="64" applyFill="1" applyBorder="1" applyAlignment="1">
      <alignment vertical="center"/>
      <protection/>
    </xf>
    <xf numFmtId="187" fontId="0" fillId="0" borderId="14" xfId="64" applyNumberFormat="1" applyFill="1" applyBorder="1" applyAlignment="1" applyProtection="1">
      <alignment vertical="center"/>
      <protection/>
    </xf>
    <xf numFmtId="187" fontId="0" fillId="0" borderId="15" xfId="64" applyNumberFormat="1" applyFill="1" applyBorder="1" applyAlignment="1" applyProtection="1">
      <alignment vertical="center"/>
      <protection/>
    </xf>
    <xf numFmtId="0" fontId="0" fillId="0" borderId="27" xfId="64" applyFill="1" applyBorder="1" applyAlignment="1">
      <alignment horizontal="center" vertical="center"/>
      <protection/>
    </xf>
    <xf numFmtId="0" fontId="0" fillId="0" borderId="15" xfId="64" applyFill="1" applyBorder="1" applyAlignment="1">
      <alignment vertical="center"/>
      <protection/>
    </xf>
    <xf numFmtId="0" fontId="0" fillId="0" borderId="39" xfId="64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Continuous" vertical="center"/>
      <protection/>
    </xf>
    <xf numFmtId="0" fontId="0" fillId="0" borderId="19" xfId="64" applyFill="1" applyBorder="1" applyAlignment="1">
      <alignment horizontal="centerContinuous" vertical="center"/>
      <protection/>
    </xf>
    <xf numFmtId="187" fontId="0" fillId="0" borderId="10" xfId="64" applyNumberFormat="1" applyFill="1" applyBorder="1" applyAlignment="1" applyProtection="1">
      <alignment vertical="center"/>
      <protection/>
    </xf>
    <xf numFmtId="187" fontId="0" fillId="0" borderId="11" xfId="64" applyNumberFormat="1" applyFill="1" applyBorder="1" applyAlignment="1" applyProtection="1">
      <alignment vertical="center"/>
      <protection/>
    </xf>
    <xf numFmtId="0" fontId="0" fillId="0" borderId="28" xfId="64" applyFont="1" applyFill="1" applyBorder="1" applyAlignment="1">
      <alignment vertical="center"/>
      <protection/>
    </xf>
    <xf numFmtId="0" fontId="0" fillId="0" borderId="37" xfId="64" applyFont="1" applyFill="1" applyBorder="1" applyAlignment="1">
      <alignment vertical="center"/>
      <protection/>
    </xf>
    <xf numFmtId="187" fontId="0" fillId="0" borderId="25" xfId="64" applyNumberFormat="1" applyFill="1" applyBorder="1" applyAlignment="1" applyProtection="1">
      <alignment vertical="center"/>
      <protection/>
    </xf>
    <xf numFmtId="187" fontId="0" fillId="0" borderId="60" xfId="64" applyNumberFormat="1" applyFill="1" applyBorder="1" applyAlignment="1" applyProtection="1">
      <alignment vertical="center"/>
      <protection/>
    </xf>
    <xf numFmtId="37" fontId="0" fillId="0" borderId="27" xfId="64" applyNumberFormat="1" applyFill="1" applyBorder="1" applyAlignment="1" applyProtection="1">
      <alignment vertical="center"/>
      <protection/>
    </xf>
    <xf numFmtId="37" fontId="0" fillId="0" borderId="0" xfId="64" applyNumberFormat="1" applyFill="1" applyAlignment="1" applyProtection="1">
      <alignment vertical="center"/>
      <protection/>
    </xf>
    <xf numFmtId="0" fontId="0" fillId="0" borderId="10" xfId="64" applyFill="1" applyBorder="1" applyAlignment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19" xfId="64" applyFill="1" applyBorder="1" applyAlignment="1">
      <alignment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29" xfId="64" applyFont="1" applyFill="1" applyBorder="1" applyAlignment="1">
      <alignment vertical="center"/>
      <protection/>
    </xf>
    <xf numFmtId="187" fontId="0" fillId="0" borderId="29" xfId="64" applyNumberFormat="1" applyFill="1" applyBorder="1" applyAlignment="1" applyProtection="1">
      <alignment vertical="center"/>
      <protection/>
    </xf>
    <xf numFmtId="187" fontId="0" fillId="0" borderId="22" xfId="64" applyNumberFormat="1" applyFill="1" applyBorder="1" applyAlignment="1" applyProtection="1">
      <alignment vertical="center"/>
      <protection/>
    </xf>
    <xf numFmtId="3" fontId="0" fillId="0" borderId="0" xfId="64" applyNumberFormat="1" applyFill="1" applyAlignment="1">
      <alignment vertical="center"/>
      <protection/>
    </xf>
    <xf numFmtId="187" fontId="0" fillId="0" borderId="0" xfId="63" applyNumberFormat="1" applyFont="1" applyFill="1" applyAlignment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187" fontId="0" fillId="0" borderId="66" xfId="67" applyNumberFormat="1" applyFont="1" applyFill="1" applyBorder="1" applyAlignment="1" applyProtection="1">
      <alignment vertical="center"/>
      <protection/>
    </xf>
    <xf numFmtId="3" fontId="0" fillId="0" borderId="64" xfId="0" applyNumberFormat="1" applyFont="1" applyFill="1" applyBorder="1" applyAlignment="1" applyProtection="1" quotePrefix="1">
      <alignment horizontal="left" vertical="center"/>
      <protection/>
    </xf>
    <xf numFmtId="0" fontId="0" fillId="0" borderId="50" xfId="63" applyFont="1" applyBorder="1" applyAlignment="1">
      <alignment vertical="center"/>
      <protection/>
    </xf>
    <xf numFmtId="180" fontId="0" fillId="0" borderId="61" xfId="63" applyNumberFormat="1" applyFill="1" applyBorder="1" applyAlignment="1" applyProtection="1">
      <alignment vertical="center"/>
      <protection/>
    </xf>
    <xf numFmtId="188" fontId="0" fillId="0" borderId="10" xfId="63" applyNumberFormat="1" applyFont="1" applyFill="1" applyBorder="1" applyAlignment="1" applyProtection="1">
      <alignment vertical="center"/>
      <protection/>
    </xf>
    <xf numFmtId="188" fontId="0" fillId="0" borderId="13" xfId="63" applyNumberFormat="1" applyFill="1" applyBorder="1" applyAlignment="1" applyProtection="1">
      <alignment vertical="center"/>
      <protection/>
    </xf>
    <xf numFmtId="188" fontId="0" fillId="0" borderId="11" xfId="63" applyNumberFormat="1" applyFont="1" applyFill="1" applyBorder="1" applyAlignment="1" applyProtection="1">
      <alignment vertical="center"/>
      <protection/>
    </xf>
    <xf numFmtId="188" fontId="0" fillId="0" borderId="61" xfId="63" applyNumberFormat="1" applyFill="1" applyBorder="1" applyAlignment="1" applyProtection="1">
      <alignment vertical="center"/>
      <protection/>
    </xf>
    <xf numFmtId="188" fontId="0" fillId="0" borderId="11" xfId="63" applyNumberFormat="1" applyFill="1" applyBorder="1" applyAlignment="1" applyProtection="1">
      <alignment vertical="center"/>
      <protection/>
    </xf>
    <xf numFmtId="189" fontId="0" fillId="0" borderId="11" xfId="63" applyNumberFormat="1" applyBorder="1" applyAlignment="1" applyProtection="1">
      <alignment vertical="center"/>
      <protection/>
    </xf>
    <xf numFmtId="0" fontId="0" fillId="0" borderId="27" xfId="0" applyNumberFormat="1" applyFill="1" applyBorder="1" applyAlignment="1">
      <alignment vertical="center" shrinkToFit="1"/>
    </xf>
    <xf numFmtId="0" fontId="0" fillId="0" borderId="28" xfId="67" applyFill="1" applyBorder="1" applyAlignment="1">
      <alignment vertical="center" shrinkToFit="1"/>
      <protection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0" borderId="28" xfId="67" applyFill="1" applyBorder="1" applyAlignment="1">
      <alignment horizontal="center" vertical="center" shrinkToFit="1"/>
      <protection/>
    </xf>
    <xf numFmtId="0" fontId="0" fillId="0" borderId="28" xfId="67" applyFont="1" applyFill="1" applyBorder="1" applyAlignment="1">
      <alignment horizontal="center" shrinkToFit="1"/>
      <protection/>
    </xf>
    <xf numFmtId="0" fontId="0" fillId="0" borderId="22" xfId="67" applyFill="1" applyBorder="1" applyAlignment="1">
      <alignment vertical="center" shrinkToFit="1"/>
      <protection/>
    </xf>
    <xf numFmtId="0" fontId="0" fillId="0" borderId="28" xfId="67" applyFont="1" applyFill="1" applyBorder="1" applyAlignment="1">
      <alignment horizontal="center" vertical="center" shrinkToFit="1"/>
      <protection/>
    </xf>
    <xf numFmtId="0" fontId="0" fillId="0" borderId="0" xfId="63" applyFont="1" applyFill="1" applyAlignment="1">
      <alignment horizontal="right" vertical="center"/>
      <protection/>
    </xf>
    <xf numFmtId="0" fontId="0" fillId="0" borderId="0" xfId="63" applyFont="1" applyFill="1" applyAlignment="1">
      <alignment horizontal="left" vertical="center"/>
      <protection/>
    </xf>
    <xf numFmtId="189" fontId="0" fillId="0" borderId="10" xfId="63" applyNumberFormat="1" applyFill="1" applyBorder="1" applyAlignment="1" applyProtection="1">
      <alignment vertical="center"/>
      <protection/>
    </xf>
    <xf numFmtId="0" fontId="0" fillId="0" borderId="28" xfId="67" applyNumberFormat="1" applyFill="1" applyBorder="1" applyAlignment="1">
      <alignment vertical="center" shrinkToFit="1"/>
      <protection/>
    </xf>
    <xf numFmtId="0" fontId="0" fillId="0" borderId="28" xfId="67" applyNumberFormat="1" applyFill="1" applyBorder="1" applyAlignment="1">
      <alignment horizontal="center" vertical="center" shrinkToFit="1"/>
      <protection/>
    </xf>
    <xf numFmtId="0" fontId="0" fillId="0" borderId="28" xfId="67" applyNumberFormat="1" applyFont="1" applyFill="1" applyBorder="1" applyAlignment="1">
      <alignment horizontal="center" vertical="center" shrinkToFit="1"/>
      <protection/>
    </xf>
    <xf numFmtId="0" fontId="0" fillId="0" borderId="22" xfId="67" applyNumberFormat="1" applyFill="1" applyBorder="1" applyAlignment="1">
      <alignment vertical="center" shrinkToFit="1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0" borderId="30" xfId="61" applyFill="1" applyBorder="1" applyAlignment="1">
      <alignment horizontal="right"/>
      <protection/>
    </xf>
    <xf numFmtId="0" fontId="0" fillId="0" borderId="27" xfId="61" applyFill="1" applyBorder="1" applyAlignment="1">
      <alignment vertical="center"/>
      <protection/>
    </xf>
    <xf numFmtId="0" fontId="0" fillId="0" borderId="29" xfId="61" applyFill="1" applyBorder="1" applyAlignment="1">
      <alignment vertical="center"/>
      <protection/>
    </xf>
    <xf numFmtId="0" fontId="0" fillId="0" borderId="63" xfId="61" applyFill="1" applyBorder="1" applyAlignment="1">
      <alignment vertical="center"/>
      <protection/>
    </xf>
    <xf numFmtId="187" fontId="0" fillId="0" borderId="67" xfId="61" applyNumberFormat="1" applyFill="1" applyBorder="1" applyAlignment="1">
      <alignment vertical="center"/>
      <protection/>
    </xf>
    <xf numFmtId="187" fontId="0" fillId="0" borderId="68" xfId="61" applyNumberFormat="1" applyFill="1" applyBorder="1" applyAlignment="1">
      <alignment vertical="center"/>
      <protection/>
    </xf>
    <xf numFmtId="187" fontId="0" fillId="0" borderId="28" xfId="61" applyNumberFormat="1" applyFill="1" applyBorder="1" applyAlignment="1">
      <alignment vertical="center"/>
      <protection/>
    </xf>
    <xf numFmtId="187" fontId="0" fillId="0" borderId="27" xfId="61" applyNumberFormat="1" applyFill="1" applyBorder="1" applyAlignment="1">
      <alignment vertical="center"/>
      <protection/>
    </xf>
    <xf numFmtId="187" fontId="0" fillId="0" borderId="42" xfId="61" applyNumberFormat="1" applyFill="1" applyBorder="1" applyAlignment="1">
      <alignment vertical="center"/>
      <protection/>
    </xf>
    <xf numFmtId="0" fontId="0" fillId="0" borderId="37" xfId="61" applyFill="1" applyBorder="1" applyAlignment="1">
      <alignment horizontal="center" vertical="center"/>
      <protection/>
    </xf>
    <xf numFmtId="187" fontId="0" fillId="0" borderId="14" xfId="61" applyNumberFormat="1" applyFill="1" applyBorder="1" applyAlignment="1">
      <alignment vertical="center"/>
      <protection/>
    </xf>
    <xf numFmtId="187" fontId="0" fillId="0" borderId="38" xfId="61" applyNumberFormat="1" applyFill="1" applyBorder="1" applyAlignment="1">
      <alignment vertical="center"/>
      <protection/>
    </xf>
    <xf numFmtId="187" fontId="0" fillId="0" borderId="15" xfId="61" applyNumberFormat="1" applyFill="1" applyBorder="1" applyAlignment="1" applyProtection="1">
      <alignment vertical="center"/>
      <protection/>
    </xf>
    <xf numFmtId="0" fontId="0" fillId="0" borderId="19" xfId="61" applyFill="1" applyBorder="1" applyAlignment="1">
      <alignment vertical="center"/>
      <protection/>
    </xf>
    <xf numFmtId="0" fontId="0" fillId="0" borderId="19" xfId="61" applyFill="1" applyBorder="1" applyAlignment="1">
      <alignment horizontal="center" vertical="center"/>
      <protection/>
    </xf>
    <xf numFmtId="187" fontId="0" fillId="0" borderId="69" xfId="61" applyNumberFormat="1" applyFill="1" applyBorder="1" applyAlignment="1">
      <alignment vertical="center"/>
      <protection/>
    </xf>
    <xf numFmtId="187" fontId="0" fillId="0" borderId="70" xfId="61" applyNumberFormat="1" applyFill="1" applyBorder="1" applyAlignment="1">
      <alignment vertical="center"/>
      <protection/>
    </xf>
    <xf numFmtId="187" fontId="0" fillId="0" borderId="11" xfId="61" applyNumberFormat="1" applyFill="1" applyBorder="1" applyAlignment="1" applyProtection="1">
      <alignment vertical="center"/>
      <protection/>
    </xf>
    <xf numFmtId="187" fontId="0" fillId="0" borderId="23" xfId="61" applyNumberFormat="1" applyFill="1" applyBorder="1" applyAlignment="1">
      <alignment vertical="center"/>
      <protection/>
    </xf>
    <xf numFmtId="187" fontId="0" fillId="0" borderId="24" xfId="61" applyNumberFormat="1" applyFill="1" applyBorder="1" applyAlignment="1">
      <alignment vertical="center"/>
      <protection/>
    </xf>
    <xf numFmtId="187" fontId="0" fillId="0" borderId="50" xfId="61" applyNumberFormat="1" applyFill="1" applyBorder="1" applyAlignment="1">
      <alignment vertical="center"/>
      <protection/>
    </xf>
    <xf numFmtId="187" fontId="0" fillId="0" borderId="51" xfId="61" applyNumberFormat="1" applyFill="1" applyBorder="1" applyAlignment="1">
      <alignment vertical="center"/>
      <protection/>
    </xf>
    <xf numFmtId="187" fontId="0" fillId="0" borderId="10" xfId="61" applyNumberFormat="1" applyFill="1" applyBorder="1" applyAlignment="1">
      <alignment vertical="center"/>
      <protection/>
    </xf>
    <xf numFmtId="187" fontId="0" fillId="0" borderId="33" xfId="61" applyNumberFormat="1" applyFill="1" applyBorder="1" applyAlignment="1">
      <alignment vertical="center"/>
      <protection/>
    </xf>
    <xf numFmtId="187" fontId="0" fillId="0" borderId="71" xfId="61" applyNumberFormat="1" applyFill="1" applyBorder="1" applyAlignment="1" applyProtection="1">
      <alignment vertical="center"/>
      <protection/>
    </xf>
    <xf numFmtId="187" fontId="0" fillId="0" borderId="28" xfId="61" applyNumberFormat="1" applyFill="1" applyBorder="1" applyAlignment="1" applyProtection="1">
      <alignment vertical="center"/>
      <protection/>
    </xf>
    <xf numFmtId="187" fontId="0" fillId="0" borderId="16" xfId="61" applyNumberFormat="1" applyFill="1" applyBorder="1" applyAlignment="1" applyProtection="1">
      <alignment vertical="center"/>
      <protection/>
    </xf>
    <xf numFmtId="187" fontId="0" fillId="0" borderId="39" xfId="61" applyNumberFormat="1" applyFill="1" applyBorder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9" xfId="61" applyFill="1" applyBorder="1" applyAlignment="1">
      <alignment horizontal="right" vertical="center"/>
      <protection/>
    </xf>
    <xf numFmtId="0" fontId="0" fillId="0" borderId="0" xfId="61" applyFont="1" applyFill="1" applyAlignment="1" quotePrefix="1">
      <alignment horizontal="lef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30" xfId="61" applyFill="1" applyBorder="1" applyAlignment="1">
      <alignment horizontal="center" vertical="center"/>
      <protection/>
    </xf>
    <xf numFmtId="187" fontId="0" fillId="0" borderId="44" xfId="61" applyNumberFormat="1" applyFill="1" applyBorder="1" applyAlignment="1" applyProtection="1">
      <alignment vertical="center"/>
      <protection/>
    </xf>
    <xf numFmtId="187" fontId="0" fillId="0" borderId="22" xfId="61" applyNumberFormat="1" applyFill="1" applyBorder="1" applyAlignment="1" applyProtection="1">
      <alignment vertical="center"/>
      <protection/>
    </xf>
    <xf numFmtId="187" fontId="0" fillId="0" borderId="46" xfId="61" applyNumberFormat="1" applyFill="1" applyBorder="1" applyAlignment="1" applyProtection="1">
      <alignment vertical="center"/>
      <protection/>
    </xf>
    <xf numFmtId="0" fontId="0" fillId="0" borderId="0" xfId="62" applyNumberFormat="1" applyFill="1">
      <alignment/>
      <protection/>
    </xf>
    <xf numFmtId="0" fontId="0" fillId="0" borderId="29" xfId="62" applyNumberFormat="1" applyFill="1" applyBorder="1" applyAlignment="1">
      <alignment vertical="center"/>
      <protection/>
    </xf>
    <xf numFmtId="0" fontId="0" fillId="0" borderId="30" xfId="62" applyNumberFormat="1" applyFill="1" applyBorder="1" applyAlignment="1">
      <alignment vertical="center"/>
      <protection/>
    </xf>
    <xf numFmtId="187" fontId="0" fillId="0" borderId="22" xfId="62" applyNumberFormat="1" applyFill="1" applyBorder="1" applyAlignment="1" applyProtection="1">
      <alignment vertical="center"/>
      <protection/>
    </xf>
    <xf numFmtId="0" fontId="0" fillId="0" borderId="27" xfId="62" applyFill="1" applyBorder="1">
      <alignment/>
      <protection/>
    </xf>
    <xf numFmtId="0" fontId="0" fillId="0" borderId="0" xfId="62" applyFill="1">
      <alignment/>
      <protection/>
    </xf>
    <xf numFmtId="0" fontId="8" fillId="0" borderId="0" xfId="62" applyNumberFormat="1" applyFont="1" applyFill="1">
      <alignment/>
      <protection/>
    </xf>
    <xf numFmtId="0" fontId="5" fillId="0" borderId="0" xfId="62" applyNumberFormat="1" applyFont="1" applyFill="1">
      <alignment/>
      <protection/>
    </xf>
    <xf numFmtId="0" fontId="0" fillId="0" borderId="30" xfId="62" applyNumberFormat="1" applyFill="1" applyBorder="1">
      <alignment/>
      <protection/>
    </xf>
    <xf numFmtId="0" fontId="0" fillId="0" borderId="30" xfId="62" applyNumberFormat="1" applyFill="1" applyBorder="1" applyAlignment="1">
      <alignment horizontal="right"/>
      <protection/>
    </xf>
    <xf numFmtId="0" fontId="0" fillId="0" borderId="27" xfId="61" applyNumberFormat="1" applyFill="1" applyBorder="1" applyAlignment="1">
      <alignment vertical="center"/>
      <protection/>
    </xf>
    <xf numFmtId="0" fontId="0" fillId="0" borderId="0" xfId="61" applyNumberFormat="1" applyFill="1" applyAlignment="1">
      <alignment vertical="center"/>
      <protection/>
    </xf>
    <xf numFmtId="0" fontId="0" fillId="0" borderId="27" xfId="62" applyNumberFormat="1" applyFill="1" applyBorder="1">
      <alignment/>
      <protection/>
    </xf>
    <xf numFmtId="0" fontId="0" fillId="0" borderId="29" xfId="61" applyNumberFormat="1" applyFill="1" applyBorder="1" applyAlignment="1">
      <alignment vertical="center"/>
      <protection/>
    </xf>
    <xf numFmtId="0" fontId="0" fillId="0" borderId="30" xfId="61" applyNumberFormat="1" applyFill="1" applyBorder="1" applyAlignment="1">
      <alignment vertical="center"/>
      <protection/>
    </xf>
    <xf numFmtId="0" fontId="0" fillId="0" borderId="63" xfId="61" applyNumberFormat="1" applyFill="1" applyBorder="1" applyAlignment="1">
      <alignment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72" xfId="61" applyFill="1" applyBorder="1" applyAlignment="1">
      <alignment vertical="center"/>
      <protection/>
    </xf>
    <xf numFmtId="0" fontId="0" fillId="0" borderId="72" xfId="61" applyFont="1" applyFill="1" applyBorder="1" applyAlignment="1" quotePrefix="1">
      <alignment horizontal="left" vertical="center"/>
      <protection/>
    </xf>
    <xf numFmtId="0" fontId="0" fillId="0" borderId="73" xfId="61" applyFill="1" applyBorder="1" applyAlignment="1">
      <alignment horizontal="center" vertical="center"/>
      <protection/>
    </xf>
    <xf numFmtId="187" fontId="0" fillId="0" borderId="74" xfId="61" applyNumberFormat="1" applyFill="1" applyBorder="1" applyAlignment="1" applyProtection="1">
      <alignment vertical="center"/>
      <protection/>
    </xf>
    <xf numFmtId="187" fontId="0" fillId="0" borderId="75" xfId="61" applyNumberFormat="1" applyFill="1" applyBorder="1" applyAlignment="1" applyProtection="1">
      <alignment vertical="center"/>
      <protection/>
    </xf>
    <xf numFmtId="187" fontId="0" fillId="0" borderId="76" xfId="61" applyNumberFormat="1" applyFill="1" applyBorder="1" applyAlignment="1" applyProtection="1">
      <alignment vertical="center"/>
      <protection/>
    </xf>
    <xf numFmtId="0" fontId="0" fillId="0" borderId="0" xfId="61" applyFill="1" applyBorder="1" applyAlignment="1">
      <alignment vertical="center"/>
      <protection/>
    </xf>
    <xf numFmtId="187" fontId="0" fillId="0" borderId="43" xfId="61" applyNumberFormat="1" applyFill="1" applyBorder="1" applyAlignment="1" applyProtection="1">
      <alignment vertical="center"/>
      <protection/>
    </xf>
    <xf numFmtId="0" fontId="0" fillId="0" borderId="27" xfId="62" applyNumberFormat="1" applyFill="1" applyBorder="1" applyAlignment="1">
      <alignment vertical="center"/>
      <protection/>
    </xf>
    <xf numFmtId="0" fontId="0" fillId="0" borderId="0" xfId="62" applyNumberFormat="1" applyFill="1" applyBorder="1" applyAlignment="1">
      <alignment vertical="center"/>
      <protection/>
    </xf>
    <xf numFmtId="0" fontId="0" fillId="0" borderId="0" xfId="62" applyNumberFormat="1" applyFill="1" applyAlignment="1">
      <alignment vertical="center"/>
      <protection/>
    </xf>
    <xf numFmtId="0" fontId="0" fillId="0" borderId="37" xfId="62" applyNumberFormat="1" applyFill="1" applyBorder="1" applyAlignment="1">
      <alignment horizontal="center" vertical="center"/>
      <protection/>
    </xf>
    <xf numFmtId="187" fontId="0" fillId="0" borderId="14" xfId="62" applyNumberFormat="1" applyFill="1" applyBorder="1" applyAlignment="1" applyProtection="1">
      <alignment vertical="center"/>
      <protection/>
    </xf>
    <xf numFmtId="187" fontId="0" fillId="0" borderId="38" xfId="62" applyNumberFormat="1" applyFill="1" applyBorder="1" applyAlignment="1" applyProtection="1">
      <alignment vertical="center"/>
      <protection/>
    </xf>
    <xf numFmtId="187" fontId="0" fillId="0" borderId="15" xfId="62" applyNumberFormat="1" applyFill="1" applyBorder="1" applyAlignment="1" applyProtection="1">
      <alignment vertical="center"/>
      <protection/>
    </xf>
    <xf numFmtId="0" fontId="0" fillId="0" borderId="19" xfId="62" applyNumberFormat="1" applyFill="1" applyBorder="1" applyAlignment="1">
      <alignment vertical="center"/>
      <protection/>
    </xf>
    <xf numFmtId="0" fontId="0" fillId="0" borderId="19" xfId="62" applyNumberFormat="1" applyFill="1" applyBorder="1" applyAlignment="1">
      <alignment horizontal="center" vertical="center"/>
      <protection/>
    </xf>
    <xf numFmtId="187" fontId="0" fillId="0" borderId="10" xfId="62" applyNumberFormat="1" applyFill="1" applyBorder="1" applyAlignment="1" applyProtection="1">
      <alignment vertical="center"/>
      <protection/>
    </xf>
    <xf numFmtId="187" fontId="0" fillId="0" borderId="33" xfId="62" applyNumberFormat="1" applyFill="1" applyBorder="1" applyAlignment="1" applyProtection="1">
      <alignment vertical="center"/>
      <protection/>
    </xf>
    <xf numFmtId="187" fontId="0" fillId="0" borderId="11" xfId="62" applyNumberFormat="1" applyFill="1" applyBorder="1" applyAlignment="1" applyProtection="1">
      <alignment vertical="center"/>
      <protection/>
    </xf>
    <xf numFmtId="0" fontId="0" fillId="0" borderId="0" xfId="62" applyNumberFormat="1" applyFont="1" applyFill="1" applyAlignment="1">
      <alignment vertical="center"/>
      <protection/>
    </xf>
    <xf numFmtId="0" fontId="0" fillId="0" borderId="10" xfId="62" applyNumberFormat="1" applyFill="1" applyBorder="1" applyAlignment="1">
      <alignment vertical="center"/>
      <protection/>
    </xf>
    <xf numFmtId="0" fontId="0" fillId="0" borderId="77" xfId="62" applyNumberFormat="1" applyFill="1" applyBorder="1" applyAlignment="1">
      <alignment vertical="center"/>
      <protection/>
    </xf>
    <xf numFmtId="187" fontId="0" fillId="0" borderId="27" xfId="62" applyNumberFormat="1" applyFill="1" applyBorder="1" applyAlignment="1">
      <alignment vertical="center"/>
      <protection/>
    </xf>
    <xf numFmtId="187" fontId="0" fillId="0" borderId="28" xfId="62" applyNumberFormat="1" applyFill="1" applyBorder="1" applyAlignment="1">
      <alignment vertical="center"/>
      <protection/>
    </xf>
    <xf numFmtId="187" fontId="0" fillId="0" borderId="28" xfId="62" applyNumberFormat="1" applyFill="1" applyBorder="1" applyAlignment="1" applyProtection="1">
      <alignment vertical="center"/>
      <protection/>
    </xf>
    <xf numFmtId="0" fontId="0" fillId="0" borderId="19" xfId="62" applyNumberFormat="1" applyFont="1" applyFill="1" applyBorder="1" applyAlignment="1">
      <alignment horizontal="right" vertical="center"/>
      <protection/>
    </xf>
    <xf numFmtId="0" fontId="0" fillId="0" borderId="19" xfId="62" applyNumberForma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27" xfId="62" applyNumberFormat="1" applyFont="1" applyFill="1" applyBorder="1" applyAlignment="1" quotePrefix="1">
      <alignment horizontal="left" vertical="center"/>
      <protection/>
    </xf>
    <xf numFmtId="0" fontId="0" fillId="0" borderId="0" xfId="62" applyNumberFormat="1" applyFont="1" applyFill="1" applyBorder="1" applyAlignment="1" quotePrefix="1">
      <alignment horizontal="left" vertical="center"/>
      <protection/>
    </xf>
    <xf numFmtId="0" fontId="0" fillId="0" borderId="77" xfId="62" applyNumberFormat="1" applyFont="1" applyFill="1" applyBorder="1" applyAlignment="1" quotePrefix="1">
      <alignment horizontal="left" vertical="center"/>
      <protection/>
    </xf>
    <xf numFmtId="187" fontId="0" fillId="0" borderId="27" xfId="62" applyNumberForma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87" fontId="0" fillId="0" borderId="50" xfId="62" applyNumberFormat="1" applyFill="1" applyBorder="1" applyAlignment="1" applyProtection="1">
      <alignment vertical="center"/>
      <protection/>
    </xf>
    <xf numFmtId="187" fontId="0" fillId="0" borderId="49" xfId="62" applyNumberFormat="1" applyFill="1" applyBorder="1" applyAlignment="1" applyProtection="1">
      <alignment vertical="center"/>
      <protection/>
    </xf>
    <xf numFmtId="187" fontId="0" fillId="0" borderId="52" xfId="62" applyNumberFormat="1" applyFill="1" applyBorder="1" applyAlignment="1" applyProtection="1">
      <alignment vertical="center"/>
      <protection/>
    </xf>
    <xf numFmtId="37" fontId="0" fillId="0" borderId="0" xfId="62" applyNumberFormat="1" applyFill="1" applyProtection="1">
      <alignment/>
      <protection/>
    </xf>
    <xf numFmtId="176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0" fillId="0" borderId="0" xfId="63" applyFill="1" applyBorder="1" applyAlignment="1">
      <alignment vertical="center"/>
      <protection/>
    </xf>
    <xf numFmtId="0" fontId="0" fillId="0" borderId="27" xfId="63" applyFont="1" applyFill="1" applyBorder="1" applyAlignment="1">
      <alignment vertical="center"/>
      <protection/>
    </xf>
    <xf numFmtId="37" fontId="0" fillId="0" borderId="27" xfId="63" applyNumberFormat="1" applyFill="1" applyBorder="1" applyAlignment="1" applyProtection="1">
      <alignment vertical="center"/>
      <protection/>
    </xf>
    <xf numFmtId="37" fontId="0" fillId="0" borderId="28" xfId="63" applyNumberFormat="1" applyFill="1" applyBorder="1" applyAlignment="1" applyProtection="1">
      <alignment vertical="center"/>
      <protection/>
    </xf>
    <xf numFmtId="37" fontId="0" fillId="0" borderId="78" xfId="63" applyNumberFormat="1" applyFill="1" applyBorder="1" applyAlignment="1" applyProtection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0" fontId="0" fillId="0" borderId="79" xfId="63" applyFill="1" applyBorder="1" applyAlignment="1">
      <alignment vertical="center"/>
      <protection/>
    </xf>
    <xf numFmtId="37" fontId="0" fillId="0" borderId="59" xfId="63" applyNumberFormat="1" applyFill="1" applyBorder="1" applyAlignment="1" applyProtection="1">
      <alignment vertical="center"/>
      <protection/>
    </xf>
    <xf numFmtId="0" fontId="0" fillId="0" borderId="54" xfId="63" applyFont="1" applyFill="1" applyBorder="1" applyAlignment="1">
      <alignment vertical="center"/>
      <protection/>
    </xf>
    <xf numFmtId="0" fontId="0" fillId="0" borderId="80" xfId="63" applyFill="1" applyBorder="1" applyAlignment="1">
      <alignment vertical="center"/>
      <protection/>
    </xf>
    <xf numFmtId="188" fontId="0" fillId="0" borderId="81" xfId="63" applyNumberFormat="1" applyFill="1" applyBorder="1" applyAlignment="1" applyProtection="1">
      <alignment vertical="center"/>
      <protection/>
    </xf>
    <xf numFmtId="188" fontId="0" fillId="0" borderId="55" xfId="63" applyNumberFormat="1" applyFill="1" applyBorder="1" applyAlignment="1" applyProtection="1">
      <alignment vertical="center"/>
      <protection/>
    </xf>
    <xf numFmtId="188" fontId="0" fillId="0" borderId="56" xfId="63" applyNumberFormat="1" applyFill="1" applyBorder="1" applyAlignment="1" applyProtection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187" fontId="0" fillId="0" borderId="0" xfId="61" applyNumberFormat="1" applyFill="1" applyAlignment="1">
      <alignment vertical="center"/>
      <protection/>
    </xf>
    <xf numFmtId="187" fontId="0" fillId="0" borderId="0" xfId="62" applyNumberFormat="1" applyFill="1">
      <alignment/>
      <protection/>
    </xf>
    <xf numFmtId="187" fontId="0" fillId="0" borderId="0" xfId="66" applyNumberFormat="1" applyFill="1" applyAlignment="1">
      <alignment vertical="center"/>
      <protection/>
    </xf>
    <xf numFmtId="187" fontId="0" fillId="0" borderId="16" xfId="66" applyNumberFormat="1" applyFont="1" applyFill="1" applyBorder="1" applyAlignment="1" applyProtection="1">
      <alignment vertical="center"/>
      <protection/>
    </xf>
    <xf numFmtId="187" fontId="0" fillId="0" borderId="38" xfId="66" applyNumberFormat="1" applyFont="1" applyFill="1" applyBorder="1" applyAlignment="1" applyProtection="1">
      <alignment vertical="center"/>
      <protection/>
    </xf>
    <xf numFmtId="187" fontId="0" fillId="0" borderId="39" xfId="66" applyNumberFormat="1" applyFont="1" applyFill="1" applyBorder="1" applyAlignment="1" applyProtection="1">
      <alignment vertical="center"/>
      <protection/>
    </xf>
    <xf numFmtId="187" fontId="0" fillId="0" borderId="33" xfId="66" applyNumberFormat="1" applyFont="1" applyFill="1" applyBorder="1" applyAlignment="1" applyProtection="1">
      <alignment vertical="center"/>
      <protection/>
    </xf>
    <xf numFmtId="0" fontId="0" fillId="0" borderId="45" xfId="0" applyNumberFormat="1" applyBorder="1" applyAlignment="1">
      <alignment vertical="center"/>
    </xf>
    <xf numFmtId="0" fontId="0" fillId="0" borderId="0" xfId="67" applyFont="1" applyFill="1" applyAlignment="1">
      <alignment horizontal="right" vertical="center"/>
      <protection/>
    </xf>
    <xf numFmtId="187" fontId="0" fillId="0" borderId="16" xfId="61" applyNumberFormat="1" applyFont="1" applyFill="1" applyBorder="1" applyAlignment="1" applyProtection="1">
      <alignment vertical="center"/>
      <protection/>
    </xf>
    <xf numFmtId="187" fontId="0" fillId="0" borderId="15" xfId="61" applyNumberFormat="1" applyFont="1" applyFill="1" applyBorder="1" applyAlignment="1" applyProtection="1">
      <alignment vertical="center"/>
      <protection/>
    </xf>
    <xf numFmtId="187" fontId="0" fillId="0" borderId="39" xfId="61" applyNumberFormat="1" applyFont="1" applyFill="1" applyBorder="1" applyAlignment="1" applyProtection="1">
      <alignment vertical="center"/>
      <protection/>
    </xf>
    <xf numFmtId="187" fontId="0" fillId="0" borderId="11" xfId="61" applyNumberFormat="1" applyFont="1" applyFill="1" applyBorder="1" applyAlignment="1" applyProtection="1">
      <alignment vertical="center"/>
      <protection/>
    </xf>
    <xf numFmtId="187" fontId="0" fillId="0" borderId="29" xfId="62" applyNumberFormat="1" applyFont="1" applyFill="1" applyBorder="1" applyAlignment="1" applyProtection="1">
      <alignment vertical="center"/>
      <protection/>
    </xf>
    <xf numFmtId="187" fontId="0" fillId="0" borderId="22" xfId="62" applyNumberFormat="1" applyFont="1" applyFill="1" applyBorder="1" applyAlignment="1" applyProtection="1">
      <alignment vertical="center"/>
      <protection/>
    </xf>
    <xf numFmtId="185" fontId="0" fillId="0" borderId="11" xfId="0" applyNumberFormat="1" applyBorder="1" applyAlignment="1" applyProtection="1">
      <alignment horizontal="right" vertical="center" wrapText="1"/>
      <protection/>
    </xf>
    <xf numFmtId="187" fontId="0" fillId="0" borderId="23" xfId="63" applyNumberFormat="1" applyFill="1" applyBorder="1" applyAlignment="1" applyProtection="1">
      <alignment vertical="center"/>
      <protection/>
    </xf>
    <xf numFmtId="187" fontId="0" fillId="0" borderId="58" xfId="63" applyNumberFormat="1" applyFill="1" applyBorder="1" applyAlignment="1" applyProtection="1">
      <alignment vertical="center"/>
      <protection/>
    </xf>
    <xf numFmtId="0" fontId="0" fillId="0" borderId="45" xfId="0" applyNumberFormat="1" applyBorder="1" applyAlignment="1">
      <alignment horizontal="center" vertical="center"/>
    </xf>
    <xf numFmtId="187" fontId="0" fillId="0" borderId="19" xfId="64" applyNumberFormat="1" applyFill="1" applyBorder="1" applyAlignment="1" applyProtection="1">
      <alignment vertical="center"/>
      <protection/>
    </xf>
    <xf numFmtId="187" fontId="0" fillId="0" borderId="51" xfId="64" applyNumberFormat="1" applyFill="1" applyBorder="1" applyAlignment="1" applyProtection="1">
      <alignment vertical="center"/>
      <protection/>
    </xf>
    <xf numFmtId="37" fontId="0" fillId="0" borderId="36" xfId="0" applyNumberFormat="1" applyBorder="1" applyAlignment="1" applyProtection="1">
      <alignment vertical="center"/>
      <protection/>
    </xf>
    <xf numFmtId="187" fontId="0" fillId="0" borderId="38" xfId="61" applyNumberFormat="1" applyFont="1" applyFill="1" applyBorder="1" applyAlignment="1">
      <alignment horizontal="center" vertical="center"/>
      <protection/>
    </xf>
    <xf numFmtId="187" fontId="0" fillId="0" borderId="70" xfId="61" applyNumberFormat="1" applyFill="1" applyBorder="1" applyAlignment="1">
      <alignment horizontal="center" vertical="center"/>
      <protection/>
    </xf>
    <xf numFmtId="187" fontId="0" fillId="0" borderId="24" xfId="61" applyNumberFormat="1" applyFill="1" applyBorder="1" applyAlignment="1">
      <alignment horizontal="center" vertical="center"/>
      <protection/>
    </xf>
    <xf numFmtId="187" fontId="0" fillId="0" borderId="51" xfId="61" applyNumberFormat="1" applyFill="1" applyBorder="1" applyAlignment="1">
      <alignment horizontal="center" vertical="center"/>
      <protection/>
    </xf>
    <xf numFmtId="187" fontId="0" fillId="0" borderId="33" xfId="61" applyNumberFormat="1" applyFill="1" applyBorder="1" applyAlignment="1">
      <alignment horizontal="center" vertical="center"/>
      <protection/>
    </xf>
    <xf numFmtId="187" fontId="0" fillId="0" borderId="28" xfId="61" applyNumberFormat="1" applyFill="1" applyBorder="1" applyAlignment="1" applyProtection="1">
      <alignment horizontal="center" vertical="center"/>
      <protection/>
    </xf>
    <xf numFmtId="187" fontId="0" fillId="0" borderId="15" xfId="61" applyNumberFormat="1" applyFill="1" applyBorder="1" applyAlignment="1" applyProtection="1">
      <alignment horizontal="center" vertical="center"/>
      <protection/>
    </xf>
    <xf numFmtId="187" fontId="0" fillId="0" borderId="11" xfId="61" applyNumberFormat="1" applyFill="1" applyBorder="1" applyAlignment="1" applyProtection="1">
      <alignment horizontal="center" vertical="center"/>
      <protection/>
    </xf>
    <xf numFmtId="187" fontId="0" fillId="0" borderId="15" xfId="61" applyNumberFormat="1" applyFont="1" applyFill="1" applyBorder="1" applyAlignment="1" applyProtection="1">
      <alignment horizontal="center" vertical="center"/>
      <protection/>
    </xf>
    <xf numFmtId="187" fontId="0" fillId="0" borderId="11" xfId="61" applyNumberFormat="1" applyFont="1" applyFill="1" applyBorder="1" applyAlignment="1" applyProtection="1">
      <alignment horizontal="center" vertical="center"/>
      <protection/>
    </xf>
    <xf numFmtId="187" fontId="0" fillId="0" borderId="22" xfId="61" applyNumberFormat="1" applyFill="1" applyBorder="1" applyAlignment="1" applyProtection="1">
      <alignment horizontal="center" vertical="center"/>
      <protection/>
    </xf>
    <xf numFmtId="187" fontId="0" fillId="0" borderId="75" xfId="61" applyNumberFormat="1" applyFont="1" applyFill="1" applyBorder="1" applyAlignment="1" applyProtection="1">
      <alignment horizontal="center" vertical="center"/>
      <protection/>
    </xf>
    <xf numFmtId="187" fontId="0" fillId="0" borderId="38" xfId="62" applyNumberFormat="1" applyFill="1" applyBorder="1" applyAlignment="1" applyProtection="1">
      <alignment horizontal="center" vertical="center"/>
      <protection/>
    </xf>
    <xf numFmtId="187" fontId="0" fillId="0" borderId="33" xfId="62" applyNumberFormat="1" applyFill="1" applyBorder="1" applyAlignment="1" applyProtection="1">
      <alignment horizontal="center" vertical="center"/>
      <protection/>
    </xf>
    <xf numFmtId="187" fontId="0" fillId="0" borderId="28" xfId="62" applyNumberFormat="1" applyFill="1" applyBorder="1" applyAlignment="1">
      <alignment horizontal="center" vertical="center"/>
      <protection/>
    </xf>
    <xf numFmtId="187" fontId="0" fillId="0" borderId="15" xfId="62" applyNumberFormat="1" applyFill="1" applyBorder="1" applyAlignment="1" applyProtection="1">
      <alignment horizontal="center" vertical="center"/>
      <protection/>
    </xf>
    <xf numFmtId="187" fontId="0" fillId="0" borderId="11" xfId="62" applyNumberFormat="1" applyFill="1" applyBorder="1" applyAlignment="1" applyProtection="1">
      <alignment horizontal="center" vertical="center"/>
      <protection/>
    </xf>
    <xf numFmtId="187" fontId="0" fillId="0" borderId="28" xfId="62" applyNumberFormat="1" applyFill="1" applyBorder="1" applyAlignment="1" applyProtection="1">
      <alignment horizontal="center" vertical="center"/>
      <protection/>
    </xf>
    <xf numFmtId="187" fontId="0" fillId="0" borderId="49" xfId="62" applyNumberFormat="1" applyFill="1" applyBorder="1" applyAlignment="1" applyProtection="1">
      <alignment horizontal="center" vertical="center"/>
      <protection/>
    </xf>
    <xf numFmtId="187" fontId="0" fillId="0" borderId="22" xfId="62" applyNumberFormat="1" applyFont="1" applyFill="1" applyBorder="1" applyAlignment="1" applyProtection="1">
      <alignment horizontal="center" vertical="center"/>
      <protection/>
    </xf>
    <xf numFmtId="180" fontId="0" fillId="0" borderId="11" xfId="63" applyNumberFormat="1" applyFont="1" applyBorder="1" applyAlignment="1" applyProtection="1">
      <alignment horizontal="center" vertical="center"/>
      <protection/>
    </xf>
    <xf numFmtId="180" fontId="0" fillId="0" borderId="11" xfId="63" applyNumberFormat="1" applyBorder="1" applyAlignment="1" applyProtection="1">
      <alignment horizontal="center" vertical="center"/>
      <protection/>
    </xf>
    <xf numFmtId="37" fontId="0" fillId="0" borderId="11" xfId="63" applyNumberFormat="1" applyBorder="1" applyAlignment="1" applyProtection="1">
      <alignment horizontal="center" vertical="center"/>
      <protection/>
    </xf>
    <xf numFmtId="37" fontId="0" fillId="0" borderId="15" xfId="63" applyNumberFormat="1" applyBorder="1" applyAlignment="1" applyProtection="1">
      <alignment horizontal="center" vertical="center"/>
      <protection/>
    </xf>
    <xf numFmtId="189" fontId="0" fillId="0" borderId="11" xfId="63" applyNumberFormat="1" applyBorder="1" applyAlignment="1" applyProtection="1">
      <alignment horizontal="center" vertical="center"/>
      <protection/>
    </xf>
    <xf numFmtId="180" fontId="0" fillId="0" borderId="15" xfId="63" applyNumberFormat="1" applyBorder="1" applyAlignment="1" applyProtection="1">
      <alignment horizontal="center" vertical="center"/>
      <protection/>
    </xf>
    <xf numFmtId="180" fontId="0" fillId="0" borderId="11" xfId="63" applyNumberFormat="1" applyFill="1" applyBorder="1" applyAlignment="1" applyProtection="1">
      <alignment horizontal="center" vertical="center"/>
      <protection/>
    </xf>
    <xf numFmtId="188" fontId="0" fillId="0" borderId="11" xfId="63" applyNumberFormat="1" applyFont="1" applyFill="1" applyBorder="1" applyAlignment="1" applyProtection="1">
      <alignment horizontal="center" vertical="center"/>
      <protection/>
    </xf>
    <xf numFmtId="187" fontId="0" fillId="0" borderId="11" xfId="67" applyNumberFormat="1" applyFont="1" applyFill="1" applyBorder="1" applyAlignment="1" applyProtection="1">
      <alignment horizontal="center" vertical="center"/>
      <protection/>
    </xf>
    <xf numFmtId="187" fontId="0" fillId="0" borderId="58" xfId="67" applyNumberFormat="1" applyFill="1" applyBorder="1" applyAlignment="1" applyProtection="1">
      <alignment horizontal="center" vertical="center"/>
      <protection/>
    </xf>
    <xf numFmtId="187" fontId="0" fillId="0" borderId="60" xfId="67" applyNumberFormat="1" applyFill="1" applyBorder="1" applyAlignment="1" applyProtection="1">
      <alignment horizontal="center" vertical="center"/>
      <protection/>
    </xf>
    <xf numFmtId="187" fontId="0" fillId="0" borderId="49" xfId="67" applyNumberFormat="1" applyFill="1" applyBorder="1" applyAlignment="1" applyProtection="1">
      <alignment horizontal="center" vertical="center"/>
      <protection/>
    </xf>
    <xf numFmtId="187" fontId="0" fillId="0" borderId="11" xfId="67" applyNumberFormat="1" applyFill="1" applyBorder="1" applyAlignment="1" applyProtection="1">
      <alignment horizontal="center" vertical="center"/>
      <protection/>
    </xf>
    <xf numFmtId="187" fontId="0" fillId="0" borderId="15" xfId="67" applyNumberFormat="1" applyFill="1" applyBorder="1" applyAlignment="1" applyProtection="1">
      <alignment horizontal="center" vertical="center"/>
      <protection/>
    </xf>
    <xf numFmtId="187" fontId="0" fillId="0" borderId="22" xfId="67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Border="1" applyAlignment="1" applyProtection="1">
      <alignment horizontal="center" vertical="center"/>
      <protection/>
    </xf>
    <xf numFmtId="185" fontId="0" fillId="0" borderId="15" xfId="0" applyNumberFormat="1" applyBorder="1" applyAlignment="1" applyProtection="1">
      <alignment horizontal="center" vertical="center"/>
      <protection/>
    </xf>
    <xf numFmtId="185" fontId="0" fillId="0" borderId="11" xfId="0" applyNumberFormat="1" applyBorder="1" applyAlignment="1" applyProtection="1">
      <alignment horizontal="center" vertical="center"/>
      <protection/>
    </xf>
    <xf numFmtId="186" fontId="0" fillId="0" borderId="24" xfId="0" applyNumberFormat="1" applyBorder="1" applyAlignment="1">
      <alignment horizontal="center" vertical="center"/>
    </xf>
    <xf numFmtId="186" fontId="0" fillId="0" borderId="26" xfId="0" applyNumberForma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0" fontId="0" fillId="0" borderId="19" xfId="61" applyFont="1" applyFill="1" applyBorder="1" applyAlignment="1">
      <alignment vertical="center"/>
      <protection/>
    </xf>
    <xf numFmtId="187" fontId="0" fillId="0" borderId="24" xfId="63" applyNumberFormat="1" applyFill="1" applyBorder="1" applyAlignment="1" applyProtection="1">
      <alignment horizontal="center" vertical="center"/>
      <protection/>
    </xf>
    <xf numFmtId="188" fontId="0" fillId="0" borderId="55" xfId="63" applyNumberFormat="1" applyFill="1" applyBorder="1" applyAlignment="1" applyProtection="1">
      <alignment horizontal="center" vertical="center"/>
      <protection/>
    </xf>
    <xf numFmtId="188" fontId="0" fillId="0" borderId="82" xfId="63" applyNumberFormat="1" applyFill="1" applyBorder="1" applyAlignment="1" applyProtection="1">
      <alignment vertical="center"/>
      <protection/>
    </xf>
    <xf numFmtId="183" fontId="0" fillId="0" borderId="83" xfId="63" applyNumberFormat="1" applyFont="1" applyFill="1" applyBorder="1" applyAlignment="1">
      <alignment vertical="center"/>
      <protection/>
    </xf>
    <xf numFmtId="183" fontId="0" fillId="0" borderId="83" xfId="0" applyNumberFormat="1" applyFont="1" applyFill="1" applyBorder="1" applyAlignment="1" applyProtection="1">
      <alignment vertical="center"/>
      <protection/>
    </xf>
    <xf numFmtId="183" fontId="0" fillId="0" borderId="83" xfId="67" applyNumberFormat="1" applyFont="1" applyFill="1" applyBorder="1" applyAlignment="1" applyProtection="1">
      <alignment vertical="center"/>
      <protection/>
    </xf>
    <xf numFmtId="0" fontId="0" fillId="0" borderId="64" xfId="63" applyFont="1" applyFill="1" applyBorder="1" applyAlignment="1">
      <alignment vertical="center"/>
      <protection/>
    </xf>
    <xf numFmtId="0" fontId="0" fillId="0" borderId="64" xfId="63" applyFont="1" applyFill="1" applyBorder="1" applyAlignment="1" quotePrefix="1">
      <alignment horizontal="left" vertical="center"/>
      <protection/>
    </xf>
    <xf numFmtId="176" fontId="0" fillId="0" borderId="64" xfId="0" applyFont="1" applyFill="1" applyBorder="1" applyAlignment="1">
      <alignment vertical="center"/>
    </xf>
    <xf numFmtId="176" fontId="0" fillId="0" borderId="64" xfId="0" applyFont="1" applyFill="1" applyBorder="1" applyAlignment="1" quotePrefix="1">
      <alignment horizontal="left" vertical="center"/>
    </xf>
    <xf numFmtId="0" fontId="0" fillId="0" borderId="64" xfId="67" applyFont="1" applyFill="1" applyBorder="1" applyAlignment="1">
      <alignment vertical="center"/>
      <protection/>
    </xf>
    <xf numFmtId="0" fontId="0" fillId="0" borderId="84" xfId="67" applyFont="1" applyFill="1" applyBorder="1" applyAlignment="1">
      <alignment vertical="center"/>
      <protection/>
    </xf>
    <xf numFmtId="187" fontId="0" fillId="0" borderId="66" xfId="0" applyNumberFormat="1" applyFont="1" applyFill="1" applyBorder="1" applyAlignment="1" applyProtection="1">
      <alignment vertical="center"/>
      <protection/>
    </xf>
    <xf numFmtId="187" fontId="0" fillId="0" borderId="66" xfId="63" applyNumberFormat="1" applyFont="1" applyFill="1" applyBorder="1" applyAlignment="1">
      <alignment vertical="center"/>
      <protection/>
    </xf>
    <xf numFmtId="187" fontId="0" fillId="0" borderId="66" xfId="49" applyNumberFormat="1" applyFont="1" applyFill="1" applyBorder="1" applyAlignment="1">
      <alignment vertical="center"/>
    </xf>
    <xf numFmtId="187" fontId="0" fillId="0" borderId="66" xfId="65" applyNumberFormat="1" applyFont="1" applyFill="1" applyBorder="1" applyAlignment="1" applyProtection="1">
      <alignment vertical="center"/>
      <protection/>
    </xf>
    <xf numFmtId="187" fontId="0" fillId="0" borderId="85" xfId="65" applyNumberFormat="1" applyFont="1" applyFill="1" applyBorder="1" applyAlignment="1" applyProtection="1">
      <alignment vertical="center"/>
      <protection/>
    </xf>
    <xf numFmtId="187" fontId="0" fillId="0" borderId="86" xfId="67" applyNumberFormat="1" applyFont="1" applyFill="1" applyBorder="1" applyAlignment="1" applyProtection="1">
      <alignment vertical="center"/>
      <protection/>
    </xf>
    <xf numFmtId="183" fontId="0" fillId="0" borderId="83" xfId="0" applyNumberFormat="1" applyBorder="1" applyAlignment="1">
      <alignment vertical="center" shrinkToFit="1"/>
    </xf>
    <xf numFmtId="194" fontId="0" fillId="0" borderId="83" xfId="0" applyNumberFormat="1" applyBorder="1" applyAlignment="1">
      <alignment vertical="center" shrinkToFit="1"/>
    </xf>
    <xf numFmtId="194" fontId="0" fillId="0" borderId="86" xfId="67" applyNumberFormat="1" applyFont="1" applyFill="1" applyBorder="1" applyAlignment="1" applyProtection="1">
      <alignment vertical="center"/>
      <protection/>
    </xf>
    <xf numFmtId="0" fontId="0" fillId="33" borderId="0" xfId="63" applyFont="1" applyFill="1" applyAlignment="1">
      <alignment vertical="center"/>
      <protection/>
    </xf>
    <xf numFmtId="0" fontId="0" fillId="33" borderId="0" xfId="63" applyFill="1" applyAlignment="1">
      <alignment vertical="center"/>
      <protection/>
    </xf>
    <xf numFmtId="183" fontId="0" fillId="0" borderId="87" xfId="63" applyNumberFormat="1" applyFont="1" applyFill="1" applyBorder="1" applyAlignment="1">
      <alignment vertical="center"/>
      <protection/>
    </xf>
    <xf numFmtId="183" fontId="0" fillId="0" borderId="88" xfId="63" applyNumberFormat="1" applyFont="1" applyFill="1" applyBorder="1" applyAlignment="1">
      <alignment vertical="center"/>
      <protection/>
    </xf>
    <xf numFmtId="38" fontId="0" fillId="0" borderId="89" xfId="49" applyFont="1" applyBorder="1" applyAlignment="1">
      <alignment vertical="center" shrinkToFit="1"/>
    </xf>
    <xf numFmtId="38" fontId="0" fillId="0" borderId="90" xfId="49" applyFont="1" applyBorder="1" applyAlignment="1">
      <alignment vertical="center" shrinkToFit="1"/>
    </xf>
    <xf numFmtId="0" fontId="0" fillId="0" borderId="37" xfId="66" applyFont="1" applyFill="1" applyBorder="1" applyAlignment="1">
      <alignment vertical="center"/>
      <protection/>
    </xf>
    <xf numFmtId="0" fontId="0" fillId="0" borderId="0" xfId="66" applyFill="1" applyBorder="1" applyAlignment="1">
      <alignment vertical="top"/>
      <protection/>
    </xf>
    <xf numFmtId="187" fontId="0" fillId="0" borderId="41" xfId="66" applyNumberFormat="1" applyFill="1" applyBorder="1" applyAlignment="1" applyProtection="1">
      <alignment vertical="top"/>
      <protection/>
    </xf>
    <xf numFmtId="187" fontId="0" fillId="0" borderId="42" xfId="66" applyNumberFormat="1" applyFill="1" applyBorder="1" applyAlignment="1" applyProtection="1">
      <alignment vertical="top"/>
      <protection/>
    </xf>
    <xf numFmtId="0" fontId="0" fillId="0" borderId="27" xfId="66" applyFont="1" applyFill="1" applyBorder="1" applyAlignment="1">
      <alignment/>
      <protection/>
    </xf>
    <xf numFmtId="0" fontId="0" fillId="0" borderId="27" xfId="66" applyFont="1" applyFill="1" applyBorder="1" applyAlignment="1">
      <alignment vertical="top"/>
      <protection/>
    </xf>
    <xf numFmtId="187" fontId="0" fillId="0" borderId="42" xfId="66" applyNumberFormat="1" applyFill="1" applyBorder="1" applyAlignment="1">
      <alignment vertical="top"/>
      <protection/>
    </xf>
    <xf numFmtId="187" fontId="0" fillId="0" borderId="91" xfId="66" applyNumberFormat="1" applyFill="1" applyBorder="1" applyAlignment="1" applyProtection="1">
      <alignment vertical="top"/>
      <protection/>
    </xf>
    <xf numFmtId="0" fontId="0" fillId="0" borderId="92" xfId="66" applyFont="1" applyFill="1" applyBorder="1" applyAlignment="1">
      <alignment/>
      <protection/>
    </xf>
    <xf numFmtId="0" fontId="0" fillId="0" borderId="77" xfId="66" applyFill="1" applyBorder="1" applyAlignment="1">
      <alignment/>
      <protection/>
    </xf>
    <xf numFmtId="187" fontId="0" fillId="0" borderId="71" xfId="66" applyNumberFormat="1" applyFill="1" applyBorder="1" applyAlignment="1" applyProtection="1">
      <alignment vertical="center"/>
      <protection/>
    </xf>
    <xf numFmtId="187" fontId="0" fillId="0" borderId="93" xfId="66" applyNumberFormat="1" applyFill="1" applyBorder="1" applyAlignment="1" applyProtection="1">
      <alignment vertical="center"/>
      <protection/>
    </xf>
    <xf numFmtId="187" fontId="0" fillId="0" borderId="93" xfId="66" applyNumberFormat="1" applyFill="1" applyBorder="1" applyAlignment="1">
      <alignment vertical="center"/>
      <protection/>
    </xf>
    <xf numFmtId="187" fontId="0" fillId="0" borderId="94" xfId="66" applyNumberFormat="1" applyFill="1" applyBorder="1" applyAlignment="1" applyProtection="1">
      <alignment vertical="center"/>
      <protection/>
    </xf>
    <xf numFmtId="0" fontId="0" fillId="0" borderId="19" xfId="67" applyFont="1" applyFill="1" applyBorder="1" applyAlignment="1">
      <alignment vertical="center"/>
      <protection/>
    </xf>
    <xf numFmtId="0" fontId="0" fillId="0" borderId="37" xfId="67" applyFont="1" applyFill="1" applyBorder="1" applyAlignment="1">
      <alignment vertical="center"/>
      <protection/>
    </xf>
    <xf numFmtId="187" fontId="0" fillId="0" borderId="12" xfId="67" applyNumberFormat="1" applyFill="1" applyBorder="1" applyAlignment="1" applyProtection="1">
      <alignment vertical="center"/>
      <protection/>
    </xf>
    <xf numFmtId="0" fontId="0" fillId="0" borderId="1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64" xfId="67" applyFont="1" applyFill="1" applyBorder="1" applyAlignment="1">
      <alignment vertical="center"/>
      <protection/>
    </xf>
    <xf numFmtId="0" fontId="0" fillId="0" borderId="64" xfId="63" applyFont="1" applyFill="1" applyBorder="1" applyAlignment="1" quotePrefix="1">
      <alignment horizontal="left" vertical="center"/>
      <protection/>
    </xf>
    <xf numFmtId="0" fontId="0" fillId="0" borderId="84" xfId="67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187" fontId="0" fillId="0" borderId="95" xfId="66" applyNumberFormat="1" applyFill="1" applyBorder="1" applyAlignment="1" applyProtection="1">
      <alignment vertical="center"/>
      <protection/>
    </xf>
    <xf numFmtId="0" fontId="0" fillId="0" borderId="31" xfId="66" applyFill="1" applyBorder="1" applyAlignment="1">
      <alignment vertical="center"/>
      <protection/>
    </xf>
    <xf numFmtId="0" fontId="0" fillId="0" borderId="32" xfId="66" applyFill="1" applyBorder="1" applyAlignment="1">
      <alignment vertical="center"/>
      <protection/>
    </xf>
    <xf numFmtId="57" fontId="10" fillId="0" borderId="42" xfId="0" applyNumberFormat="1" applyFont="1" applyBorder="1" applyAlignment="1">
      <alignment horizontal="center" wrapText="1"/>
    </xf>
    <xf numFmtId="0" fontId="0" fillId="0" borderId="60" xfId="64" applyFont="1" applyFill="1" applyBorder="1" applyAlignment="1">
      <alignment vertical="center" wrapText="1"/>
      <protection/>
    </xf>
    <xf numFmtId="0" fontId="0" fillId="0" borderId="96" xfId="64" applyFont="1" applyFill="1" applyBorder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病院　繰入金調その１" xfId="61"/>
    <cellStyle name="標準_病院　繰入金調その２" xfId="62"/>
    <cellStyle name="標準_病院　経営分析表" xfId="63"/>
    <cellStyle name="標準_病院　資本的収支" xfId="64"/>
    <cellStyle name="標準_病院　収益費用構成表" xfId="65"/>
    <cellStyle name="標準_病院　損益計算書" xfId="66"/>
    <cellStyle name="標準_病院　貸借対照表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6"/>
  <sheetViews>
    <sheetView showGridLines="0" showZeros="0" view="pageBreakPreview" zoomScale="65" zoomScaleNormal="65" zoomScaleSheetLayoutView="65" zoomScalePageLayoutView="0" workbookViewId="0" topLeftCell="A1">
      <pane xSplit="3" ySplit="7" topLeftCell="D8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B1" sqref="B1"/>
    </sheetView>
  </sheetViews>
  <sheetFormatPr defaultColWidth="8.66015625" defaultRowHeight="18"/>
  <cols>
    <col min="1" max="1" width="1.66015625" style="34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4" customWidth="1"/>
    <col min="19" max="19" width="2.66015625" style="1" customWidth="1"/>
    <col min="20" max="23" width="8.66015625" style="1" customWidth="1"/>
    <col min="24" max="24" width="8.83203125" style="1" bestFit="1" customWidth="1"/>
    <col min="25" max="25" width="9.33203125" style="1" bestFit="1" customWidth="1"/>
    <col min="26" max="16384" width="8.66015625" style="1" customWidth="1"/>
  </cols>
  <sheetData>
    <row r="1" spans="2:17" ht="40.5" customHeight="1">
      <c r="B1" s="64" t="s">
        <v>469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30.75" customHeight="1" thickBo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2:18" ht="27.75" customHeight="1">
      <c r="B3" s="33"/>
      <c r="C3" s="34"/>
      <c r="D3" s="3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3"/>
    </row>
    <row r="4" spans="2:18" ht="27.75" customHeight="1">
      <c r="B4" s="33"/>
      <c r="C4" s="34" t="s">
        <v>1</v>
      </c>
      <c r="D4" s="36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222</v>
      </c>
      <c r="L4" s="37" t="s">
        <v>223</v>
      </c>
      <c r="M4" s="37" t="s">
        <v>224</v>
      </c>
      <c r="N4" s="37" t="s">
        <v>9</v>
      </c>
      <c r="O4" s="37" t="s">
        <v>225</v>
      </c>
      <c r="P4" s="37" t="s">
        <v>10</v>
      </c>
      <c r="Q4" s="35"/>
      <c r="R4" s="33"/>
    </row>
    <row r="5" spans="2:18" ht="27.75" customHeight="1">
      <c r="B5" s="33"/>
      <c r="C5" s="34"/>
      <c r="D5" s="33"/>
      <c r="E5" s="35"/>
      <c r="F5" s="35"/>
      <c r="G5" s="534" t="s">
        <v>458</v>
      </c>
      <c r="H5" s="35"/>
      <c r="I5" s="35"/>
      <c r="J5" s="35"/>
      <c r="K5" s="35"/>
      <c r="L5" s="35"/>
      <c r="M5" s="35"/>
      <c r="N5" s="35"/>
      <c r="O5" s="35"/>
      <c r="P5" s="35"/>
      <c r="Q5" s="37" t="s">
        <v>11</v>
      </c>
      <c r="R5" s="33"/>
    </row>
    <row r="6" spans="2:18" ht="27.75" customHeight="1">
      <c r="B6" s="33" t="s">
        <v>12</v>
      </c>
      <c r="C6" s="34"/>
      <c r="D6" s="33" t="s">
        <v>301</v>
      </c>
      <c r="E6" s="35" t="s">
        <v>301</v>
      </c>
      <c r="F6" s="35"/>
      <c r="G6" s="534"/>
      <c r="H6" s="35"/>
      <c r="I6" s="35"/>
      <c r="J6" s="35" t="s">
        <v>301</v>
      </c>
      <c r="K6" s="54" t="s">
        <v>302</v>
      </c>
      <c r="L6" s="35" t="s">
        <v>300</v>
      </c>
      <c r="M6" s="35" t="s">
        <v>303</v>
      </c>
      <c r="N6" s="35" t="s">
        <v>303</v>
      </c>
      <c r="O6" s="35" t="s">
        <v>304</v>
      </c>
      <c r="P6" s="35"/>
      <c r="Q6" s="35"/>
      <c r="R6" s="33"/>
    </row>
    <row r="7" spans="2:18" ht="27.75" customHeight="1" thickBot="1">
      <c r="B7" s="38"/>
      <c r="C7" s="39"/>
      <c r="D7" s="38" t="s">
        <v>226</v>
      </c>
      <c r="E7" s="40" t="s">
        <v>227</v>
      </c>
      <c r="F7" s="35" t="s">
        <v>305</v>
      </c>
      <c r="G7" s="421" t="s">
        <v>306</v>
      </c>
      <c r="H7" s="40" t="s">
        <v>307</v>
      </c>
      <c r="I7" s="40" t="s">
        <v>308</v>
      </c>
      <c r="J7" s="40" t="s">
        <v>309</v>
      </c>
      <c r="K7" s="40" t="s">
        <v>310</v>
      </c>
      <c r="L7" s="55" t="s">
        <v>315</v>
      </c>
      <c r="M7" s="40" t="s">
        <v>311</v>
      </c>
      <c r="N7" s="40" t="s">
        <v>312</v>
      </c>
      <c r="O7" s="40" t="s">
        <v>313</v>
      </c>
      <c r="P7" s="40" t="s">
        <v>314</v>
      </c>
      <c r="Q7" s="40"/>
      <c r="R7" s="33"/>
    </row>
    <row r="8" spans="2:48" ht="30.75" customHeight="1">
      <c r="B8" s="41" t="s">
        <v>18</v>
      </c>
      <c r="C8" s="42"/>
      <c r="D8" s="2" t="s">
        <v>19</v>
      </c>
      <c r="E8" s="3" t="s">
        <v>19</v>
      </c>
      <c r="F8" s="435" t="s">
        <v>459</v>
      </c>
      <c r="G8" s="471" t="s">
        <v>461</v>
      </c>
      <c r="H8" s="3" t="s">
        <v>19</v>
      </c>
      <c r="I8" s="3" t="s">
        <v>19</v>
      </c>
      <c r="J8" s="3" t="s">
        <v>19</v>
      </c>
      <c r="K8" s="3" t="s">
        <v>19</v>
      </c>
      <c r="L8" s="3" t="s">
        <v>19</v>
      </c>
      <c r="M8" s="3" t="s">
        <v>19</v>
      </c>
      <c r="N8" s="3" t="s">
        <v>19</v>
      </c>
      <c r="O8" s="3" t="s">
        <v>19</v>
      </c>
      <c r="P8" s="3" t="s">
        <v>19</v>
      </c>
      <c r="Q8" s="17">
        <v>13</v>
      </c>
      <c r="R8" s="66" t="s">
        <v>20</v>
      </c>
      <c r="S8" s="4" t="s">
        <v>20</v>
      </c>
      <c r="T8" s="4" t="s">
        <v>20</v>
      </c>
      <c r="U8" s="4" t="s">
        <v>20</v>
      </c>
      <c r="V8" s="4" t="s">
        <v>20</v>
      </c>
      <c r="W8" s="4" t="s">
        <v>20</v>
      </c>
      <c r="X8" s="4" t="s">
        <v>20</v>
      </c>
      <c r="Y8" s="4" t="s">
        <v>20</v>
      </c>
      <c r="Z8" s="4" t="s">
        <v>20</v>
      </c>
      <c r="AA8" s="4" t="s">
        <v>20</v>
      </c>
      <c r="AB8" s="4" t="s">
        <v>20</v>
      </c>
      <c r="AC8" s="4" t="s">
        <v>20</v>
      </c>
      <c r="AD8" s="4" t="s">
        <v>20</v>
      </c>
      <c r="AE8" s="4" t="s">
        <v>20</v>
      </c>
      <c r="AF8" s="4" t="s">
        <v>20</v>
      </c>
      <c r="AG8" s="4" t="s">
        <v>20</v>
      </c>
      <c r="AH8" s="4" t="s">
        <v>20</v>
      </c>
      <c r="AI8" s="4" t="s">
        <v>20</v>
      </c>
      <c r="AJ8" s="4" t="s">
        <v>20</v>
      </c>
      <c r="AK8" s="4" t="s">
        <v>20</v>
      </c>
      <c r="AL8" s="4" t="s">
        <v>20</v>
      </c>
      <c r="AM8" s="4" t="s">
        <v>20</v>
      </c>
      <c r="AN8" s="4" t="s">
        <v>20</v>
      </c>
      <c r="AO8" s="4" t="s">
        <v>20</v>
      </c>
      <c r="AP8" s="4" t="s">
        <v>20</v>
      </c>
      <c r="AQ8" s="4" t="s">
        <v>20</v>
      </c>
      <c r="AR8" s="4" t="s">
        <v>20</v>
      </c>
      <c r="AS8" s="4" t="s">
        <v>20</v>
      </c>
      <c r="AT8" s="4" t="s">
        <v>20</v>
      </c>
      <c r="AU8" s="4" t="s">
        <v>20</v>
      </c>
      <c r="AV8" s="4" t="s">
        <v>21</v>
      </c>
    </row>
    <row r="9" spans="2:48" ht="30.75" customHeight="1">
      <c r="B9" s="41" t="s">
        <v>22</v>
      </c>
      <c r="C9" s="42"/>
      <c r="D9" s="5" t="s">
        <v>23</v>
      </c>
      <c r="E9" s="6" t="s">
        <v>23</v>
      </c>
      <c r="F9" s="6" t="s">
        <v>23</v>
      </c>
      <c r="G9" s="6" t="s">
        <v>460</v>
      </c>
      <c r="H9" s="6" t="s">
        <v>23</v>
      </c>
      <c r="I9" s="6" t="s">
        <v>23</v>
      </c>
      <c r="J9" s="6" t="s">
        <v>449</v>
      </c>
      <c r="K9" s="6" t="s">
        <v>449</v>
      </c>
      <c r="L9" s="6" t="s">
        <v>23</v>
      </c>
      <c r="M9" s="6" t="s">
        <v>449</v>
      </c>
      <c r="N9" s="6" t="s">
        <v>449</v>
      </c>
      <c r="O9" s="6" t="s">
        <v>450</v>
      </c>
      <c r="P9" s="6" t="s">
        <v>23</v>
      </c>
      <c r="Q9" s="429"/>
      <c r="R9" s="66" t="s">
        <v>20</v>
      </c>
      <c r="S9" s="4" t="s">
        <v>20</v>
      </c>
      <c r="T9" s="4" t="s">
        <v>20</v>
      </c>
      <c r="U9" s="4" t="s">
        <v>20</v>
      </c>
      <c r="V9" s="4" t="s">
        <v>20</v>
      </c>
      <c r="W9" s="4" t="s">
        <v>20</v>
      </c>
      <c r="X9" s="4" t="s">
        <v>20</v>
      </c>
      <c r="Y9" s="4" t="s">
        <v>20</v>
      </c>
      <c r="Z9" s="4" t="s">
        <v>20</v>
      </c>
      <c r="AA9" s="4" t="s">
        <v>20</v>
      </c>
      <c r="AB9" s="4" t="s">
        <v>20</v>
      </c>
      <c r="AC9" s="4" t="s">
        <v>20</v>
      </c>
      <c r="AD9" s="4" t="s">
        <v>20</v>
      </c>
      <c r="AE9" s="4" t="s">
        <v>20</v>
      </c>
      <c r="AF9" s="4" t="s">
        <v>20</v>
      </c>
      <c r="AG9" s="4" t="s">
        <v>20</v>
      </c>
      <c r="AH9" s="4" t="s">
        <v>20</v>
      </c>
      <c r="AI9" s="4" t="s">
        <v>20</v>
      </c>
      <c r="AJ9" s="4" t="s">
        <v>20</v>
      </c>
      <c r="AK9" s="4" t="s">
        <v>20</v>
      </c>
      <c r="AL9" s="4" t="s">
        <v>20</v>
      </c>
      <c r="AM9" s="4" t="s">
        <v>20</v>
      </c>
      <c r="AN9" s="4" t="s">
        <v>20</v>
      </c>
      <c r="AO9" s="4" t="s">
        <v>20</v>
      </c>
      <c r="AP9" s="4" t="s">
        <v>20</v>
      </c>
      <c r="AQ9" s="4" t="s">
        <v>20</v>
      </c>
      <c r="AR9" s="4" t="s">
        <v>20</v>
      </c>
      <c r="AS9" s="4" t="s">
        <v>20</v>
      </c>
      <c r="AT9" s="4" t="s">
        <v>20</v>
      </c>
      <c r="AU9" s="4" t="s">
        <v>20</v>
      </c>
      <c r="AV9" s="4" t="s">
        <v>21</v>
      </c>
    </row>
    <row r="10" spans="2:48" ht="30.75" customHeight="1">
      <c r="B10" s="41" t="s">
        <v>24</v>
      </c>
      <c r="C10" s="42"/>
      <c r="D10" s="7" t="s">
        <v>298</v>
      </c>
      <c r="E10" s="8" t="s">
        <v>298</v>
      </c>
      <c r="F10" s="8" t="s">
        <v>298</v>
      </c>
      <c r="G10" s="8" t="s">
        <v>460</v>
      </c>
      <c r="H10" s="8" t="s">
        <v>298</v>
      </c>
      <c r="I10" s="8" t="s">
        <v>298</v>
      </c>
      <c r="J10" s="8" t="s">
        <v>298</v>
      </c>
      <c r="K10" s="8" t="s">
        <v>298</v>
      </c>
      <c r="L10" s="8" t="s">
        <v>298</v>
      </c>
      <c r="M10" s="8" t="s">
        <v>298</v>
      </c>
      <c r="N10" s="8" t="s">
        <v>299</v>
      </c>
      <c r="O10" s="8" t="s">
        <v>298</v>
      </c>
      <c r="P10" s="8" t="s">
        <v>298</v>
      </c>
      <c r="Q10" s="17">
        <v>12</v>
      </c>
      <c r="R10" s="66" t="s">
        <v>20</v>
      </c>
      <c r="S10" s="4" t="s">
        <v>20</v>
      </c>
      <c r="T10" s="4" t="s">
        <v>20</v>
      </c>
      <c r="U10" s="4" t="s">
        <v>20</v>
      </c>
      <c r="V10" s="4" t="s">
        <v>20</v>
      </c>
      <c r="W10" s="4" t="s">
        <v>20</v>
      </c>
      <c r="X10" s="4" t="s">
        <v>20</v>
      </c>
      <c r="Y10" s="4" t="s">
        <v>20</v>
      </c>
      <c r="Z10" s="4" t="s">
        <v>20</v>
      </c>
      <c r="AA10" s="4" t="s">
        <v>20</v>
      </c>
      <c r="AB10" s="4" t="s">
        <v>20</v>
      </c>
      <c r="AC10" s="4" t="s">
        <v>20</v>
      </c>
      <c r="AD10" s="4" t="s">
        <v>20</v>
      </c>
      <c r="AE10" s="4" t="s">
        <v>20</v>
      </c>
      <c r="AF10" s="4" t="s">
        <v>20</v>
      </c>
      <c r="AG10" s="4" t="s">
        <v>20</v>
      </c>
      <c r="AH10" s="4" t="s">
        <v>20</v>
      </c>
      <c r="AI10" s="4" t="s">
        <v>20</v>
      </c>
      <c r="AJ10" s="4" t="s">
        <v>20</v>
      </c>
      <c r="AK10" s="4" t="s">
        <v>20</v>
      </c>
      <c r="AL10" s="4" t="s">
        <v>20</v>
      </c>
      <c r="AM10" s="4" t="s">
        <v>20</v>
      </c>
      <c r="AN10" s="4" t="s">
        <v>20</v>
      </c>
      <c r="AO10" s="4" t="s">
        <v>20</v>
      </c>
      <c r="AP10" s="4" t="s">
        <v>20</v>
      </c>
      <c r="AQ10" s="4" t="s">
        <v>20</v>
      </c>
      <c r="AR10" s="4" t="s">
        <v>20</v>
      </c>
      <c r="AS10" s="4" t="s">
        <v>20</v>
      </c>
      <c r="AT10" s="4" t="s">
        <v>20</v>
      </c>
      <c r="AU10" s="4" t="s">
        <v>20</v>
      </c>
      <c r="AV10" s="4" t="s">
        <v>21</v>
      </c>
    </row>
    <row r="11" spans="2:18" ht="30.75" customHeight="1">
      <c r="B11" s="36" t="s">
        <v>25</v>
      </c>
      <c r="C11" s="43" t="s">
        <v>26</v>
      </c>
      <c r="D11" s="14">
        <v>566</v>
      </c>
      <c r="E11" s="15">
        <v>270</v>
      </c>
      <c r="F11" s="15">
        <v>326</v>
      </c>
      <c r="G11" s="472" t="s">
        <v>460</v>
      </c>
      <c r="H11" s="15">
        <v>200</v>
      </c>
      <c r="I11" s="15">
        <v>199</v>
      </c>
      <c r="J11" s="15">
        <v>100</v>
      </c>
      <c r="K11" s="15">
        <v>50</v>
      </c>
      <c r="L11" s="15">
        <v>281</v>
      </c>
      <c r="M11" s="15">
        <v>30</v>
      </c>
      <c r="N11" s="15">
        <v>0</v>
      </c>
      <c r="O11" s="15">
        <v>50</v>
      </c>
      <c r="P11" s="15">
        <v>234</v>
      </c>
      <c r="Q11" s="15">
        <f aca="true" t="shared" si="0" ref="Q11:Q16">SUM(D11:P11)</f>
        <v>2306</v>
      </c>
      <c r="R11" s="33"/>
    </row>
    <row r="12" spans="2:18" ht="30.75" customHeight="1">
      <c r="B12" s="36"/>
      <c r="C12" s="43" t="s">
        <v>220</v>
      </c>
      <c r="D12" s="14">
        <v>0</v>
      </c>
      <c r="E12" s="15">
        <v>52</v>
      </c>
      <c r="F12" s="15">
        <v>0</v>
      </c>
      <c r="G12" s="472" t="s">
        <v>460</v>
      </c>
      <c r="H12" s="15">
        <v>0</v>
      </c>
      <c r="I12" s="15">
        <v>56</v>
      </c>
      <c r="J12" s="15">
        <v>0</v>
      </c>
      <c r="K12" s="15">
        <v>40</v>
      </c>
      <c r="L12" s="15"/>
      <c r="M12" s="15">
        <v>0</v>
      </c>
      <c r="N12" s="15">
        <v>50</v>
      </c>
      <c r="O12" s="15">
        <v>26</v>
      </c>
      <c r="P12" s="15">
        <v>40</v>
      </c>
      <c r="Q12" s="15">
        <f t="shared" si="0"/>
        <v>264</v>
      </c>
      <c r="R12" s="33"/>
    </row>
    <row r="13" spans="2:18" ht="30.75" customHeight="1">
      <c r="B13" s="33"/>
      <c r="C13" s="43" t="s">
        <v>27</v>
      </c>
      <c r="D13" s="14">
        <v>0</v>
      </c>
      <c r="E13" s="15">
        <v>0</v>
      </c>
      <c r="F13" s="15">
        <v>0</v>
      </c>
      <c r="G13" s="472" t="s">
        <v>460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>
        <f t="shared" si="0"/>
        <v>0</v>
      </c>
      <c r="R13" s="33"/>
    </row>
    <row r="14" spans="2:18" ht="30.75" customHeight="1">
      <c r="B14" s="69" t="s">
        <v>28</v>
      </c>
      <c r="C14" s="43" t="s">
        <v>29</v>
      </c>
      <c r="D14" s="14">
        <v>0</v>
      </c>
      <c r="E14" s="15">
        <v>0</v>
      </c>
      <c r="F14" s="15">
        <v>0</v>
      </c>
      <c r="G14" s="472" t="s">
        <v>460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0"/>
        <v>0</v>
      </c>
      <c r="R14" s="33"/>
    </row>
    <row r="15" spans="2:18" ht="30.75" customHeight="1">
      <c r="B15" s="33"/>
      <c r="C15" s="44" t="s">
        <v>261</v>
      </c>
      <c r="D15" s="14">
        <v>2</v>
      </c>
      <c r="E15" s="15">
        <v>0</v>
      </c>
      <c r="F15" s="15">
        <v>2</v>
      </c>
      <c r="G15" s="472" t="s">
        <v>460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4</v>
      </c>
      <c r="Q15" s="15">
        <f t="shared" si="0"/>
        <v>8</v>
      </c>
      <c r="R15" s="33"/>
    </row>
    <row r="16" spans="2:18" ht="30.75" customHeight="1">
      <c r="B16" s="45" t="s">
        <v>30</v>
      </c>
      <c r="C16" s="46" t="s">
        <v>11</v>
      </c>
      <c r="D16" s="16">
        <f>SUM(D11:D15)</f>
        <v>568</v>
      </c>
      <c r="E16" s="17">
        <f aca="true" t="shared" si="1" ref="E16:P16">SUM(E11:E15)</f>
        <v>322</v>
      </c>
      <c r="F16" s="17">
        <f t="shared" si="1"/>
        <v>328</v>
      </c>
      <c r="G16" s="473" t="s">
        <v>460</v>
      </c>
      <c r="H16" s="17">
        <f t="shared" si="1"/>
        <v>200</v>
      </c>
      <c r="I16" s="17">
        <f t="shared" si="1"/>
        <v>255</v>
      </c>
      <c r="J16" s="17">
        <f t="shared" si="1"/>
        <v>100</v>
      </c>
      <c r="K16" s="17">
        <f t="shared" si="1"/>
        <v>90</v>
      </c>
      <c r="L16" s="17">
        <f t="shared" si="1"/>
        <v>281</v>
      </c>
      <c r="M16" s="17">
        <f t="shared" si="1"/>
        <v>30</v>
      </c>
      <c r="N16" s="17">
        <f t="shared" si="1"/>
        <v>50</v>
      </c>
      <c r="O16" s="17">
        <f t="shared" si="1"/>
        <v>76</v>
      </c>
      <c r="P16" s="17">
        <f t="shared" si="1"/>
        <v>278</v>
      </c>
      <c r="Q16" s="17">
        <f t="shared" si="0"/>
        <v>2578</v>
      </c>
      <c r="R16" s="33"/>
    </row>
    <row r="17" spans="2:18" ht="30.75" customHeight="1">
      <c r="B17" s="36" t="s">
        <v>31</v>
      </c>
      <c r="C17" s="47" t="s">
        <v>235</v>
      </c>
      <c r="D17" s="14">
        <v>48144</v>
      </c>
      <c r="E17" s="15">
        <v>19843</v>
      </c>
      <c r="F17" s="15">
        <v>23848</v>
      </c>
      <c r="G17" s="472" t="s">
        <v>460</v>
      </c>
      <c r="H17" s="15">
        <v>18102</v>
      </c>
      <c r="I17" s="15">
        <v>19705</v>
      </c>
      <c r="J17" s="15">
        <v>6980</v>
      </c>
      <c r="K17" s="15">
        <v>5358</v>
      </c>
      <c r="L17" s="15">
        <v>15528</v>
      </c>
      <c r="M17" s="15">
        <v>2087</v>
      </c>
      <c r="N17" s="15">
        <v>3964</v>
      </c>
      <c r="O17" s="15">
        <v>2776</v>
      </c>
      <c r="P17" s="15">
        <v>17902</v>
      </c>
      <c r="Q17" s="15">
        <f aca="true" t="shared" si="2" ref="Q17:Q22">SUM(D17:P17)</f>
        <v>184237</v>
      </c>
      <c r="R17" s="33"/>
    </row>
    <row r="18" spans="2:18" ht="30.75" customHeight="1">
      <c r="B18" s="36" t="s">
        <v>32</v>
      </c>
      <c r="C18" s="47" t="s">
        <v>234</v>
      </c>
      <c r="D18" s="14">
        <v>0</v>
      </c>
      <c r="E18" s="15">
        <v>1165</v>
      </c>
      <c r="F18" s="15">
        <v>0</v>
      </c>
      <c r="G18" s="472" t="s">
        <v>460</v>
      </c>
      <c r="H18" s="15">
        <v>0</v>
      </c>
      <c r="I18" s="15">
        <v>97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515</v>
      </c>
      <c r="P18" s="15">
        <v>0</v>
      </c>
      <c r="Q18" s="15">
        <f t="shared" si="2"/>
        <v>1777</v>
      </c>
      <c r="R18" s="33"/>
    </row>
    <row r="19" spans="2:18" ht="30.75" customHeight="1">
      <c r="B19" s="36" t="s">
        <v>33</v>
      </c>
      <c r="C19" s="47" t="s">
        <v>233</v>
      </c>
      <c r="D19" s="14">
        <v>0</v>
      </c>
      <c r="E19" s="15">
        <v>0</v>
      </c>
      <c r="F19" s="15">
        <v>0</v>
      </c>
      <c r="G19" s="472" t="s">
        <v>460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2"/>
        <v>0</v>
      </c>
      <c r="R19" s="33"/>
    </row>
    <row r="20" spans="2:18" ht="30.75" customHeight="1">
      <c r="B20" s="41" t="s">
        <v>34</v>
      </c>
      <c r="C20" s="46" t="s">
        <v>11</v>
      </c>
      <c r="D20" s="16">
        <f>SUM(D17:D19)</f>
        <v>48144</v>
      </c>
      <c r="E20" s="17">
        <f aca="true" t="shared" si="3" ref="E20:P20">SUM(E17:E19)</f>
        <v>21008</v>
      </c>
      <c r="F20" s="17">
        <f t="shared" si="3"/>
        <v>23848</v>
      </c>
      <c r="G20" s="473" t="s">
        <v>460</v>
      </c>
      <c r="H20" s="17">
        <f t="shared" si="3"/>
        <v>18102</v>
      </c>
      <c r="I20" s="17">
        <f t="shared" si="3"/>
        <v>19802</v>
      </c>
      <c r="J20" s="17">
        <f t="shared" si="3"/>
        <v>6980</v>
      </c>
      <c r="K20" s="17">
        <f t="shared" si="3"/>
        <v>5358</v>
      </c>
      <c r="L20" s="17">
        <f t="shared" si="3"/>
        <v>15528</v>
      </c>
      <c r="M20" s="17">
        <f t="shared" si="3"/>
        <v>2087</v>
      </c>
      <c r="N20" s="17">
        <f t="shared" si="3"/>
        <v>3964</v>
      </c>
      <c r="O20" s="17">
        <f t="shared" si="3"/>
        <v>3291</v>
      </c>
      <c r="P20" s="17">
        <f t="shared" si="3"/>
        <v>17902</v>
      </c>
      <c r="Q20" s="17">
        <f t="shared" si="2"/>
        <v>186014</v>
      </c>
      <c r="R20" s="33"/>
    </row>
    <row r="21" spans="2:18" ht="30.75" customHeight="1">
      <c r="B21" s="33" t="s">
        <v>35</v>
      </c>
      <c r="C21" s="47" t="s">
        <v>232</v>
      </c>
      <c r="D21" s="14">
        <v>0</v>
      </c>
      <c r="E21" s="15">
        <v>0</v>
      </c>
      <c r="F21" s="15">
        <v>0</v>
      </c>
      <c r="G21" s="472" t="s">
        <v>460</v>
      </c>
      <c r="H21" s="15">
        <v>60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2"/>
        <v>60</v>
      </c>
      <c r="R21" s="33"/>
    </row>
    <row r="22" spans="2:18" ht="30.75" customHeight="1">
      <c r="B22" s="41" t="s">
        <v>36</v>
      </c>
      <c r="C22" s="48" t="s">
        <v>231</v>
      </c>
      <c r="D22" s="16">
        <v>0</v>
      </c>
      <c r="E22" s="17">
        <v>0</v>
      </c>
      <c r="F22" s="17">
        <v>0</v>
      </c>
      <c r="G22" s="473" t="s">
        <v>460</v>
      </c>
      <c r="H22" s="17">
        <v>58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2"/>
        <v>58</v>
      </c>
      <c r="R22" s="33"/>
    </row>
    <row r="23" spans="1:48" s="10" customFormat="1" ht="30.75" customHeight="1">
      <c r="A23" s="65"/>
      <c r="B23" s="49" t="s">
        <v>262</v>
      </c>
      <c r="C23" s="50"/>
      <c r="D23" s="57" t="s">
        <v>451</v>
      </c>
      <c r="E23" s="58" t="s">
        <v>451</v>
      </c>
      <c r="F23" s="58" t="s">
        <v>451</v>
      </c>
      <c r="G23" s="58" t="s">
        <v>460</v>
      </c>
      <c r="H23" s="59" t="s">
        <v>451</v>
      </c>
      <c r="I23" s="58" t="s">
        <v>452</v>
      </c>
      <c r="J23" s="58" t="s">
        <v>452</v>
      </c>
      <c r="K23" s="58" t="s">
        <v>452</v>
      </c>
      <c r="L23" s="58" t="s">
        <v>462</v>
      </c>
      <c r="M23" s="58" t="s">
        <v>453</v>
      </c>
      <c r="N23" s="58" t="s">
        <v>463</v>
      </c>
      <c r="O23" s="58" t="s">
        <v>453</v>
      </c>
      <c r="P23" s="58" t="s">
        <v>452</v>
      </c>
      <c r="Q23" s="56"/>
      <c r="R23" s="67" t="s">
        <v>20</v>
      </c>
      <c r="S23" s="9"/>
      <c r="T23" s="9" t="s">
        <v>20</v>
      </c>
      <c r="U23" s="9" t="s">
        <v>20</v>
      </c>
      <c r="V23" s="9" t="s">
        <v>20</v>
      </c>
      <c r="W23" s="9" t="s">
        <v>20</v>
      </c>
      <c r="X23" s="9" t="s">
        <v>20</v>
      </c>
      <c r="Y23" s="9" t="s">
        <v>20</v>
      </c>
      <c r="Z23" s="9" t="s">
        <v>20</v>
      </c>
      <c r="AA23" s="9" t="s">
        <v>20</v>
      </c>
      <c r="AB23" s="9" t="s">
        <v>20</v>
      </c>
      <c r="AC23" s="9" t="s">
        <v>20</v>
      </c>
      <c r="AD23" s="9" t="s">
        <v>20</v>
      </c>
      <c r="AE23" s="9" t="s">
        <v>20</v>
      </c>
      <c r="AF23" s="9" t="s">
        <v>20</v>
      </c>
      <c r="AG23" s="9" t="s">
        <v>20</v>
      </c>
      <c r="AH23" s="9" t="s">
        <v>20</v>
      </c>
      <c r="AI23" s="9" t="s">
        <v>20</v>
      </c>
      <c r="AJ23" s="9" t="s">
        <v>20</v>
      </c>
      <c r="AK23" s="9" t="s">
        <v>20</v>
      </c>
      <c r="AL23" s="9" t="s">
        <v>20</v>
      </c>
      <c r="AM23" s="9" t="s">
        <v>20</v>
      </c>
      <c r="AN23" s="9" t="s">
        <v>20</v>
      </c>
      <c r="AO23" s="9" t="s">
        <v>20</v>
      </c>
      <c r="AP23" s="9" t="s">
        <v>20</v>
      </c>
      <c r="AQ23" s="9" t="s">
        <v>20</v>
      </c>
      <c r="AR23" s="9" t="s">
        <v>20</v>
      </c>
      <c r="AS23" s="9" t="s">
        <v>20</v>
      </c>
      <c r="AT23" s="9" t="s">
        <v>20</v>
      </c>
      <c r="AU23" s="9" t="s">
        <v>20</v>
      </c>
      <c r="AV23" s="9" t="s">
        <v>21</v>
      </c>
    </row>
    <row r="24" spans="2:18" ht="30.75" customHeight="1">
      <c r="B24" s="33" t="s">
        <v>230</v>
      </c>
      <c r="C24" s="42"/>
      <c r="D24" s="18">
        <f>SUM(D25:D29)</f>
        <v>159724</v>
      </c>
      <c r="E24" s="17">
        <f aca="true" t="shared" si="4" ref="E24:P24">SUM(E25:E29)</f>
        <v>67970</v>
      </c>
      <c r="F24" s="17">
        <f t="shared" si="4"/>
        <v>99957</v>
      </c>
      <c r="G24" s="473" t="s">
        <v>460</v>
      </c>
      <c r="H24" s="17">
        <f t="shared" si="4"/>
        <v>56096</v>
      </c>
      <c r="I24" s="17">
        <f t="shared" si="4"/>
        <v>77451</v>
      </c>
      <c r="J24" s="17">
        <f t="shared" si="4"/>
        <v>18584</v>
      </c>
      <c r="K24" s="17">
        <f t="shared" si="4"/>
        <v>15343</v>
      </c>
      <c r="L24" s="17">
        <f t="shared" si="4"/>
        <v>34416</v>
      </c>
      <c r="M24" s="17">
        <f t="shared" si="4"/>
        <v>4341</v>
      </c>
      <c r="N24" s="17">
        <f t="shared" si="4"/>
        <v>17844</v>
      </c>
      <c r="O24" s="17">
        <f t="shared" si="4"/>
        <v>13906</v>
      </c>
      <c r="P24" s="17">
        <f t="shared" si="4"/>
        <v>65329</v>
      </c>
      <c r="Q24" s="17">
        <f>SUM(D24:P24)</f>
        <v>630961</v>
      </c>
      <c r="R24" s="33"/>
    </row>
    <row r="25" spans="2:18" ht="30.75" customHeight="1">
      <c r="B25" s="33"/>
      <c r="C25" s="43" t="s">
        <v>26</v>
      </c>
      <c r="D25" s="19">
        <v>159724</v>
      </c>
      <c r="E25" s="15">
        <v>60332</v>
      </c>
      <c r="F25" s="15">
        <v>99957</v>
      </c>
      <c r="G25" s="472" t="s">
        <v>460</v>
      </c>
      <c r="H25" s="15">
        <v>56096</v>
      </c>
      <c r="I25" s="15">
        <v>59601</v>
      </c>
      <c r="J25" s="15">
        <v>18584</v>
      </c>
      <c r="K25" s="15">
        <v>4514</v>
      </c>
      <c r="L25" s="15">
        <v>34416</v>
      </c>
      <c r="M25" s="15">
        <v>4341</v>
      </c>
      <c r="N25" s="15">
        <v>565</v>
      </c>
      <c r="O25" s="15">
        <v>13906</v>
      </c>
      <c r="P25" s="15">
        <v>56043</v>
      </c>
      <c r="Q25" s="15">
        <f>SUM(D25:P25)</f>
        <v>568079</v>
      </c>
      <c r="R25" s="33"/>
    </row>
    <row r="26" spans="2:18" ht="30.75" customHeight="1">
      <c r="B26" s="33"/>
      <c r="C26" s="43" t="s">
        <v>220</v>
      </c>
      <c r="D26" s="20">
        <v>0</v>
      </c>
      <c r="E26" s="15">
        <v>7638</v>
      </c>
      <c r="F26" s="15">
        <v>0</v>
      </c>
      <c r="G26" s="472" t="s">
        <v>460</v>
      </c>
      <c r="H26" s="15">
        <v>0</v>
      </c>
      <c r="I26" s="15">
        <v>17850</v>
      </c>
      <c r="J26" s="15">
        <v>0</v>
      </c>
      <c r="K26" s="15">
        <v>10829</v>
      </c>
      <c r="L26" s="15">
        <v>0</v>
      </c>
      <c r="M26" s="15">
        <v>0</v>
      </c>
      <c r="N26" s="15">
        <v>17279</v>
      </c>
      <c r="O26" s="15"/>
      <c r="P26" s="15">
        <v>9286</v>
      </c>
      <c r="Q26" s="15">
        <f>SUM(D26:P26)</f>
        <v>62882</v>
      </c>
      <c r="R26" s="33"/>
    </row>
    <row r="27" spans="2:18" ht="30.75" customHeight="1">
      <c r="B27" s="33"/>
      <c r="C27" s="43" t="s">
        <v>27</v>
      </c>
      <c r="D27" s="21">
        <v>0</v>
      </c>
      <c r="E27" s="15">
        <v>0</v>
      </c>
      <c r="F27" s="15">
        <v>0</v>
      </c>
      <c r="G27" s="472" t="s">
        <v>460</v>
      </c>
      <c r="H27" s="15">
        <v>0</v>
      </c>
      <c r="I27" s="15">
        <v>0</v>
      </c>
      <c r="J27" s="15">
        <v>0</v>
      </c>
      <c r="K27" s="15"/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/>
      <c r="R27" s="33"/>
    </row>
    <row r="28" spans="2:18" ht="30.75" customHeight="1">
      <c r="B28" s="33"/>
      <c r="C28" s="43" t="s">
        <v>29</v>
      </c>
      <c r="D28" s="21">
        <v>0</v>
      </c>
      <c r="E28" s="15">
        <v>0</v>
      </c>
      <c r="F28" s="15">
        <v>0</v>
      </c>
      <c r="G28" s="472" t="s">
        <v>460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/>
      <c r="R28" s="33"/>
    </row>
    <row r="29" spans="2:18" ht="30.75" customHeight="1">
      <c r="B29" s="41"/>
      <c r="C29" s="51" t="s">
        <v>263</v>
      </c>
      <c r="D29" s="22">
        <v>0</v>
      </c>
      <c r="E29" s="17">
        <v>0</v>
      </c>
      <c r="F29" s="17">
        <v>0</v>
      </c>
      <c r="G29" s="473" t="s">
        <v>460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/>
      <c r="R29" s="33"/>
    </row>
    <row r="30" spans="2:18" ht="30.75" customHeight="1">
      <c r="B30" s="41" t="s">
        <v>229</v>
      </c>
      <c r="C30" s="52"/>
      <c r="D30" s="23">
        <v>401011</v>
      </c>
      <c r="E30" s="17">
        <v>122860</v>
      </c>
      <c r="F30" s="17">
        <v>156323</v>
      </c>
      <c r="G30" s="473" t="s">
        <v>460</v>
      </c>
      <c r="H30" s="17">
        <v>83054</v>
      </c>
      <c r="I30" s="17">
        <v>105127</v>
      </c>
      <c r="J30" s="17">
        <v>40166</v>
      </c>
      <c r="K30" s="17">
        <v>42178</v>
      </c>
      <c r="L30" s="17">
        <v>55534</v>
      </c>
      <c r="M30" s="17">
        <v>19664</v>
      </c>
      <c r="N30" s="17">
        <v>28281</v>
      </c>
      <c r="O30" s="17">
        <v>36555</v>
      </c>
      <c r="P30" s="17">
        <v>84186</v>
      </c>
      <c r="Q30" s="17">
        <f>SUM(D30:P30)</f>
        <v>1174939</v>
      </c>
      <c r="R30" s="33"/>
    </row>
    <row r="31" spans="2:18" ht="30.75" customHeight="1">
      <c r="B31" s="41"/>
      <c r="C31" s="53" t="s">
        <v>39</v>
      </c>
      <c r="D31" s="23">
        <f>D24+D30</f>
        <v>560735</v>
      </c>
      <c r="E31" s="17">
        <f aca="true" t="shared" si="5" ref="E31:P31">E24+E30</f>
        <v>190830</v>
      </c>
      <c r="F31" s="17">
        <f t="shared" si="5"/>
        <v>256280</v>
      </c>
      <c r="G31" s="473" t="s">
        <v>460</v>
      </c>
      <c r="H31" s="17">
        <f t="shared" si="5"/>
        <v>139150</v>
      </c>
      <c r="I31" s="17">
        <f t="shared" si="5"/>
        <v>182578</v>
      </c>
      <c r="J31" s="17">
        <f t="shared" si="5"/>
        <v>58750</v>
      </c>
      <c r="K31" s="17">
        <f t="shared" si="5"/>
        <v>57521</v>
      </c>
      <c r="L31" s="17">
        <f t="shared" si="5"/>
        <v>89950</v>
      </c>
      <c r="M31" s="17">
        <f t="shared" si="5"/>
        <v>24005</v>
      </c>
      <c r="N31" s="17">
        <f t="shared" si="5"/>
        <v>46125</v>
      </c>
      <c r="O31" s="17">
        <f t="shared" si="5"/>
        <v>50461</v>
      </c>
      <c r="P31" s="17">
        <f t="shared" si="5"/>
        <v>149515</v>
      </c>
      <c r="Q31" s="17">
        <f>SUM(D31:P31)</f>
        <v>1805900</v>
      </c>
      <c r="R31" s="33"/>
    </row>
    <row r="32" spans="2:23" ht="30.75" customHeight="1">
      <c r="B32" s="33"/>
      <c r="C32" s="43" t="s">
        <v>40</v>
      </c>
      <c r="D32" s="27">
        <v>145</v>
      </c>
      <c r="E32" s="28">
        <v>49.9</v>
      </c>
      <c r="F32" s="28">
        <v>49</v>
      </c>
      <c r="G32" s="474" t="s">
        <v>460</v>
      </c>
      <c r="H32" s="28">
        <v>35.2</v>
      </c>
      <c r="I32" s="28">
        <v>16</v>
      </c>
      <c r="J32" s="28">
        <v>7.9</v>
      </c>
      <c r="K32" s="28">
        <v>5</v>
      </c>
      <c r="L32" s="28">
        <v>20</v>
      </c>
      <c r="M32" s="28">
        <v>3.2</v>
      </c>
      <c r="N32" s="28">
        <v>3</v>
      </c>
      <c r="O32" s="28">
        <v>6.3</v>
      </c>
      <c r="P32" s="28">
        <v>19</v>
      </c>
      <c r="Q32" s="29">
        <f>SUM(D32:P32)</f>
        <v>359.5</v>
      </c>
      <c r="R32" s="66">
        <v>0</v>
      </c>
      <c r="S32" s="11">
        <v>0</v>
      </c>
      <c r="T32" s="11">
        <v>0</v>
      </c>
      <c r="U32" s="11">
        <v>0</v>
      </c>
      <c r="V32" s="11">
        <v>0</v>
      </c>
      <c r="W32" s="1">
        <v>0</v>
      </c>
    </row>
    <row r="33" spans="2:23" ht="30.75" customHeight="1">
      <c r="B33" s="36" t="s">
        <v>41</v>
      </c>
      <c r="C33" s="43" t="s">
        <v>42</v>
      </c>
      <c r="D33" s="30">
        <f>598.8+7+39.1</f>
        <v>644.9</v>
      </c>
      <c r="E33" s="31">
        <f>195.8+30.3+46</f>
        <v>272.1</v>
      </c>
      <c r="F33" s="31">
        <f>292+8+69</f>
        <v>369</v>
      </c>
      <c r="G33" s="475" t="s">
        <v>460</v>
      </c>
      <c r="H33" s="31">
        <v>149</v>
      </c>
      <c r="I33" s="31">
        <f>122+37+41</f>
        <v>200</v>
      </c>
      <c r="J33" s="31">
        <f>57.8+6.5+10.8</f>
        <v>75.1</v>
      </c>
      <c r="K33" s="31">
        <f>27+14+21</f>
        <v>62</v>
      </c>
      <c r="L33" s="31">
        <f>130+8+26</f>
        <v>164</v>
      </c>
      <c r="M33" s="31">
        <f>9+9+4</f>
        <v>22</v>
      </c>
      <c r="N33" s="31">
        <f>18.7+7+14</f>
        <v>39.7</v>
      </c>
      <c r="O33" s="31">
        <f>18+12.6+11</f>
        <v>41.6</v>
      </c>
      <c r="P33" s="31">
        <f>144+19+18.4</f>
        <v>181.4</v>
      </c>
      <c r="Q33" s="29">
        <f aca="true" t="shared" si="6" ref="Q33:Q39">SUM(D33:P33)</f>
        <v>2220.7999999999997</v>
      </c>
      <c r="R33" s="66">
        <v>0</v>
      </c>
      <c r="S33" s="11">
        <v>0</v>
      </c>
      <c r="T33" s="11">
        <v>0</v>
      </c>
      <c r="U33" s="11">
        <v>0</v>
      </c>
      <c r="V33" s="11">
        <v>0</v>
      </c>
      <c r="W33" s="1">
        <v>0</v>
      </c>
    </row>
    <row r="34" spans="2:23" ht="30.75" customHeight="1">
      <c r="B34" s="36" t="s">
        <v>43</v>
      </c>
      <c r="C34" s="43" t="s">
        <v>44</v>
      </c>
      <c r="D34" s="60">
        <v>25</v>
      </c>
      <c r="E34" s="31">
        <v>10.6</v>
      </c>
      <c r="F34" s="31">
        <v>9</v>
      </c>
      <c r="G34" s="475" t="s">
        <v>460</v>
      </c>
      <c r="H34" s="31">
        <v>7</v>
      </c>
      <c r="I34" s="31">
        <v>6</v>
      </c>
      <c r="J34" s="31">
        <v>4.1</v>
      </c>
      <c r="K34" s="31">
        <v>2</v>
      </c>
      <c r="L34" s="31">
        <v>6</v>
      </c>
      <c r="M34" s="31">
        <v>1</v>
      </c>
      <c r="N34" s="31">
        <v>2</v>
      </c>
      <c r="O34" s="31">
        <v>3</v>
      </c>
      <c r="P34" s="31">
        <v>5</v>
      </c>
      <c r="Q34" s="29">
        <f t="shared" si="6"/>
        <v>80.7</v>
      </c>
      <c r="R34" s="66">
        <v>0</v>
      </c>
      <c r="S34" s="11">
        <v>0</v>
      </c>
      <c r="T34" s="11">
        <v>0</v>
      </c>
      <c r="U34" s="11">
        <v>0</v>
      </c>
      <c r="V34" s="11">
        <v>0</v>
      </c>
      <c r="W34" s="1">
        <v>0</v>
      </c>
    </row>
    <row r="35" spans="2:23" ht="30.75" customHeight="1">
      <c r="B35" s="36" t="s">
        <v>45</v>
      </c>
      <c r="C35" s="43" t="s">
        <v>46</v>
      </c>
      <c r="D35" s="60">
        <v>36.9</v>
      </c>
      <c r="E35" s="31">
        <v>69.6</v>
      </c>
      <c r="F35" s="31">
        <v>95</v>
      </c>
      <c r="G35" s="475" t="s">
        <v>460</v>
      </c>
      <c r="H35" s="31">
        <v>14</v>
      </c>
      <c r="I35" s="31">
        <v>25</v>
      </c>
      <c r="J35" s="31">
        <v>9.2</v>
      </c>
      <c r="K35" s="31">
        <v>13</v>
      </c>
      <c r="L35" s="31">
        <v>66</v>
      </c>
      <c r="M35" s="31">
        <v>5</v>
      </c>
      <c r="N35" s="31">
        <v>11</v>
      </c>
      <c r="O35" s="31">
        <v>14.6</v>
      </c>
      <c r="P35" s="31">
        <v>34.4</v>
      </c>
      <c r="Q35" s="29">
        <f t="shared" si="6"/>
        <v>393.7</v>
      </c>
      <c r="R35" s="66">
        <v>0</v>
      </c>
      <c r="S35" s="12">
        <v>0</v>
      </c>
      <c r="T35" s="12">
        <v>0</v>
      </c>
      <c r="U35" s="12">
        <v>0</v>
      </c>
      <c r="V35" s="1">
        <v>0</v>
      </c>
      <c r="W35" s="1">
        <v>0</v>
      </c>
    </row>
    <row r="36" spans="2:23" ht="30.75" customHeight="1">
      <c r="B36" s="36" t="s">
        <v>47</v>
      </c>
      <c r="C36" s="43" t="s">
        <v>48</v>
      </c>
      <c r="D36" s="60">
        <v>3</v>
      </c>
      <c r="E36" s="31">
        <v>12</v>
      </c>
      <c r="F36" s="31">
        <v>28</v>
      </c>
      <c r="G36" s="475" t="s">
        <v>460</v>
      </c>
      <c r="H36" s="31">
        <v>1.5</v>
      </c>
      <c r="I36" s="31">
        <v>3</v>
      </c>
      <c r="J36" s="31">
        <v>1</v>
      </c>
      <c r="K36" s="31">
        <v>1</v>
      </c>
      <c r="L36" s="31">
        <v>3</v>
      </c>
      <c r="M36" s="31">
        <v>1</v>
      </c>
      <c r="N36" s="31">
        <v>1</v>
      </c>
      <c r="O36" s="31">
        <v>1</v>
      </c>
      <c r="P36" s="31">
        <v>2</v>
      </c>
      <c r="Q36" s="29">
        <f t="shared" si="6"/>
        <v>57.5</v>
      </c>
      <c r="R36" s="33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2:23" ht="30.75" customHeight="1">
      <c r="B37" s="36" t="s">
        <v>49</v>
      </c>
      <c r="C37" s="43" t="s">
        <v>50</v>
      </c>
      <c r="D37" s="60">
        <v>38</v>
      </c>
      <c r="E37" s="31">
        <v>18</v>
      </c>
      <c r="F37" s="31">
        <v>14</v>
      </c>
      <c r="G37" s="475" t="s">
        <v>460</v>
      </c>
      <c r="H37" s="31">
        <v>8</v>
      </c>
      <c r="I37" s="31">
        <v>12</v>
      </c>
      <c r="J37" s="31">
        <v>3</v>
      </c>
      <c r="K37" s="31">
        <v>2</v>
      </c>
      <c r="L37" s="31">
        <v>8</v>
      </c>
      <c r="M37" s="31">
        <v>2</v>
      </c>
      <c r="N37" s="31">
        <v>2</v>
      </c>
      <c r="O37" s="31">
        <v>2</v>
      </c>
      <c r="P37" s="31">
        <v>7</v>
      </c>
      <c r="Q37" s="29">
        <f t="shared" si="6"/>
        <v>116</v>
      </c>
      <c r="R37" s="33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2:23" ht="30.75" customHeight="1">
      <c r="B38" s="36" t="s">
        <v>30</v>
      </c>
      <c r="C38" s="43" t="s">
        <v>51</v>
      </c>
      <c r="D38" s="60">
        <v>40</v>
      </c>
      <c r="E38" s="31">
        <v>24.6</v>
      </c>
      <c r="F38" s="31">
        <v>23</v>
      </c>
      <c r="G38" s="475" t="s">
        <v>460</v>
      </c>
      <c r="H38" s="31">
        <v>10</v>
      </c>
      <c r="I38" s="31">
        <v>10</v>
      </c>
      <c r="J38" s="31">
        <v>2</v>
      </c>
      <c r="K38" s="31">
        <v>4</v>
      </c>
      <c r="L38" s="31">
        <v>10</v>
      </c>
      <c r="M38" s="31">
        <v>2</v>
      </c>
      <c r="N38" s="31">
        <v>1</v>
      </c>
      <c r="O38" s="31">
        <v>3</v>
      </c>
      <c r="P38" s="31">
        <v>10</v>
      </c>
      <c r="Q38" s="29">
        <f t="shared" si="6"/>
        <v>139.6</v>
      </c>
      <c r="R38" s="33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2:23" ht="30.75" customHeight="1">
      <c r="B39" s="33"/>
      <c r="C39" s="43" t="s">
        <v>52</v>
      </c>
      <c r="D39" s="60">
        <v>53</v>
      </c>
      <c r="E39" s="31">
        <v>32</v>
      </c>
      <c r="F39" s="31">
        <v>45</v>
      </c>
      <c r="G39" s="475" t="s">
        <v>460</v>
      </c>
      <c r="H39" s="31">
        <v>34.3</v>
      </c>
      <c r="I39" s="31">
        <v>19</v>
      </c>
      <c r="J39" s="31">
        <v>6</v>
      </c>
      <c r="K39" s="31">
        <v>2</v>
      </c>
      <c r="L39" s="31">
        <v>24</v>
      </c>
      <c r="M39" s="31">
        <v>9.2</v>
      </c>
      <c r="N39" s="31">
        <v>4</v>
      </c>
      <c r="O39" s="31">
        <v>5.5</v>
      </c>
      <c r="P39" s="31">
        <v>44</v>
      </c>
      <c r="Q39" s="63">
        <f t="shared" si="6"/>
        <v>278</v>
      </c>
      <c r="R39" s="33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2:18" ht="30.75" customHeight="1">
      <c r="B40" s="41"/>
      <c r="C40" s="46" t="s">
        <v>11</v>
      </c>
      <c r="D40" s="61">
        <f>SUM(D32:D39)</f>
        <v>985.8</v>
      </c>
      <c r="E40" s="62">
        <f aca="true" t="shared" si="7" ref="E40:P40">SUM(E32:E39)</f>
        <v>488.80000000000007</v>
      </c>
      <c r="F40" s="62">
        <f t="shared" si="7"/>
        <v>632</v>
      </c>
      <c r="G40" s="476" t="s">
        <v>460</v>
      </c>
      <c r="H40" s="62">
        <f t="shared" si="7"/>
        <v>259</v>
      </c>
      <c r="I40" s="62">
        <f t="shared" si="7"/>
        <v>291</v>
      </c>
      <c r="J40" s="62">
        <f t="shared" si="7"/>
        <v>108.3</v>
      </c>
      <c r="K40" s="62">
        <f t="shared" si="7"/>
        <v>91</v>
      </c>
      <c r="L40" s="62">
        <f t="shared" si="7"/>
        <v>301</v>
      </c>
      <c r="M40" s="62">
        <f t="shared" si="7"/>
        <v>45.400000000000006</v>
      </c>
      <c r="N40" s="62">
        <f t="shared" si="7"/>
        <v>63.7</v>
      </c>
      <c r="O40" s="62">
        <f t="shared" si="7"/>
        <v>77</v>
      </c>
      <c r="P40" s="62">
        <f t="shared" si="7"/>
        <v>302.8</v>
      </c>
      <c r="Q40" s="32">
        <f>SUM(D40:P40)</f>
        <v>3645.8</v>
      </c>
      <c r="R40" s="33"/>
    </row>
    <row r="41" spans="2:18" ht="30.75" customHeight="1" thickBot="1">
      <c r="B41" s="38" t="s">
        <v>53</v>
      </c>
      <c r="C41" s="39"/>
      <c r="D41" s="24">
        <v>0</v>
      </c>
      <c r="E41" s="25">
        <v>0</v>
      </c>
      <c r="F41" s="25">
        <v>0</v>
      </c>
      <c r="G41" s="477" t="s">
        <v>460</v>
      </c>
      <c r="H41" s="25">
        <v>0</v>
      </c>
      <c r="I41" s="25">
        <v>0</v>
      </c>
      <c r="J41" s="25">
        <v>0</v>
      </c>
      <c r="K41" s="25">
        <v>2</v>
      </c>
      <c r="L41" s="25">
        <v>0</v>
      </c>
      <c r="M41" s="25">
        <v>0</v>
      </c>
      <c r="N41" s="25">
        <v>0</v>
      </c>
      <c r="O41" s="25">
        <v>3</v>
      </c>
      <c r="P41" s="25">
        <v>0</v>
      </c>
      <c r="Q41" s="26">
        <f>SUM(D41:P41)</f>
        <v>5</v>
      </c>
      <c r="R41" s="33"/>
    </row>
    <row r="43" spans="4:17" ht="17.25"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</row>
    <row r="46" spans="18:19" ht="17.25">
      <c r="R46" s="68"/>
      <c r="S46" s="13"/>
    </row>
  </sheetData>
  <sheetProtection/>
  <mergeCells count="1">
    <mergeCell ref="G5:G6"/>
  </mergeCells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5"/>
  <sheetViews>
    <sheetView showGridLines="0" showZeros="0" view="pageBreakPreview" zoomScale="55" zoomScaleNormal="65" zoomScaleSheetLayoutView="55" zoomScalePageLayoutView="0" workbookViewId="0" topLeftCell="A1">
      <pane xSplit="5" ySplit="7" topLeftCell="F38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F8" sqref="F8"/>
    </sheetView>
  </sheetViews>
  <sheetFormatPr defaultColWidth="8.66015625" defaultRowHeight="18"/>
  <cols>
    <col min="1" max="1" width="1.66015625" style="70" customWidth="1"/>
    <col min="2" max="4" width="2.66015625" style="70" customWidth="1"/>
    <col min="5" max="5" width="22.41015625" style="70" bestFit="1" customWidth="1"/>
    <col min="6" max="18" width="13.66015625" style="70" customWidth="1"/>
    <col min="19" max="19" width="14.66015625" style="70" customWidth="1"/>
    <col min="20" max="20" width="1.66015625" style="70" customWidth="1"/>
    <col min="21" max="21" width="2.66015625" style="70" customWidth="1"/>
    <col min="22" max="16384" width="8.66015625" style="70" customWidth="1"/>
  </cols>
  <sheetData>
    <row r="1" ht="22.5" customHeight="1">
      <c r="B1" s="115" t="s">
        <v>469</v>
      </c>
    </row>
    <row r="2" spans="2:19" ht="22.5" customHeight="1" thickBot="1"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16" t="s">
        <v>55</v>
      </c>
    </row>
    <row r="3" spans="2:20" ht="22.5" customHeight="1">
      <c r="B3" s="72"/>
      <c r="F3" s="73"/>
      <c r="G3" s="74"/>
      <c r="H3" s="74"/>
      <c r="I3" s="35"/>
      <c r="J3" s="74"/>
      <c r="K3" s="74"/>
      <c r="L3" s="74"/>
      <c r="M3" s="74"/>
      <c r="N3" s="74"/>
      <c r="O3" s="74"/>
      <c r="P3" s="74"/>
      <c r="Q3" s="74"/>
      <c r="R3" s="74"/>
      <c r="S3" s="74"/>
      <c r="T3" s="72"/>
    </row>
    <row r="4" spans="2:20" ht="22.5" customHeight="1">
      <c r="B4" s="72"/>
      <c r="E4" s="70" t="s">
        <v>56</v>
      </c>
      <c r="F4" s="75" t="s">
        <v>2</v>
      </c>
      <c r="G4" s="76" t="s">
        <v>3</v>
      </c>
      <c r="H4" s="76" t="s">
        <v>4</v>
      </c>
      <c r="I4" s="37" t="s">
        <v>5</v>
      </c>
      <c r="J4" s="76" t="s">
        <v>6</v>
      </c>
      <c r="K4" s="76" t="s">
        <v>7</v>
      </c>
      <c r="L4" s="76" t="s">
        <v>8</v>
      </c>
      <c r="M4" s="76" t="s">
        <v>222</v>
      </c>
      <c r="N4" s="76" t="s">
        <v>223</v>
      </c>
      <c r="O4" s="76" t="s">
        <v>224</v>
      </c>
      <c r="P4" s="76" t="s">
        <v>9</v>
      </c>
      <c r="Q4" s="76" t="s">
        <v>225</v>
      </c>
      <c r="R4" s="76" t="s">
        <v>10</v>
      </c>
      <c r="S4" s="74"/>
      <c r="T4" s="72"/>
    </row>
    <row r="5" spans="2:20" ht="22.5" customHeight="1">
      <c r="B5" s="72"/>
      <c r="F5" s="73"/>
      <c r="G5" s="74"/>
      <c r="H5" s="74"/>
      <c r="I5" s="534" t="s">
        <v>458</v>
      </c>
      <c r="J5" s="74"/>
      <c r="K5" s="74"/>
      <c r="L5" s="74"/>
      <c r="M5" s="74"/>
      <c r="N5" s="74"/>
      <c r="O5" s="74"/>
      <c r="P5" s="74"/>
      <c r="Q5" s="74"/>
      <c r="R5" s="74"/>
      <c r="S5" s="76" t="s">
        <v>11</v>
      </c>
      <c r="T5" s="72"/>
    </row>
    <row r="6" spans="2:20" ht="22.5" customHeight="1">
      <c r="B6" s="72"/>
      <c r="C6" s="70" t="s">
        <v>57</v>
      </c>
      <c r="F6" s="73" t="s">
        <v>301</v>
      </c>
      <c r="G6" s="74" t="s">
        <v>301</v>
      </c>
      <c r="H6" s="74"/>
      <c r="I6" s="534"/>
      <c r="J6" s="74"/>
      <c r="K6" s="74"/>
      <c r="L6" s="74" t="s">
        <v>301</v>
      </c>
      <c r="M6" s="77" t="s">
        <v>302</v>
      </c>
      <c r="N6" s="74" t="s">
        <v>300</v>
      </c>
      <c r="O6" s="74" t="s">
        <v>303</v>
      </c>
      <c r="P6" s="74" t="s">
        <v>303</v>
      </c>
      <c r="Q6" s="74" t="s">
        <v>304</v>
      </c>
      <c r="R6" s="74"/>
      <c r="S6" s="74"/>
      <c r="T6" s="72"/>
    </row>
    <row r="7" spans="2:20" ht="22.5" customHeight="1" thickBot="1">
      <c r="B7" s="78"/>
      <c r="C7" s="71"/>
      <c r="D7" s="71"/>
      <c r="E7" s="71"/>
      <c r="F7" s="79" t="s">
        <v>316</v>
      </c>
      <c r="G7" s="80" t="s">
        <v>317</v>
      </c>
      <c r="H7" s="80" t="s">
        <v>318</v>
      </c>
      <c r="I7" s="432" t="s">
        <v>446</v>
      </c>
      <c r="J7" s="80" t="s">
        <v>319</v>
      </c>
      <c r="K7" s="80" t="s">
        <v>320</v>
      </c>
      <c r="L7" s="80" t="s">
        <v>321</v>
      </c>
      <c r="M7" s="80" t="s">
        <v>322</v>
      </c>
      <c r="N7" s="81" t="s">
        <v>315</v>
      </c>
      <c r="O7" s="80" t="s">
        <v>323</v>
      </c>
      <c r="P7" s="80" t="s">
        <v>324</v>
      </c>
      <c r="Q7" s="80" t="s">
        <v>325</v>
      </c>
      <c r="R7" s="80" t="s">
        <v>326</v>
      </c>
      <c r="S7" s="80"/>
      <c r="T7" s="72"/>
    </row>
    <row r="8" spans="2:20" ht="22.5" customHeight="1">
      <c r="B8" s="82" t="s">
        <v>267</v>
      </c>
      <c r="C8" s="83"/>
      <c r="D8" s="83"/>
      <c r="E8" s="83"/>
      <c r="F8" s="84">
        <f>F9+F15+F39</f>
        <v>19476775</v>
      </c>
      <c r="G8" s="85">
        <f aca="true" t="shared" si="0" ref="G8:R8">G9+G15+G39</f>
        <v>6013539</v>
      </c>
      <c r="H8" s="85">
        <f t="shared" si="0"/>
        <v>9184053</v>
      </c>
      <c r="I8" s="85">
        <f t="shared" si="0"/>
        <v>1129</v>
      </c>
      <c r="J8" s="85">
        <f t="shared" si="0"/>
        <v>5073280</v>
      </c>
      <c r="K8" s="85">
        <f t="shared" si="0"/>
        <v>4394483</v>
      </c>
      <c r="L8" s="85">
        <f t="shared" si="0"/>
        <v>1524354</v>
      </c>
      <c r="M8" s="85">
        <f t="shared" si="0"/>
        <v>1174808</v>
      </c>
      <c r="N8" s="85">
        <f t="shared" si="0"/>
        <v>3997505</v>
      </c>
      <c r="O8" s="85">
        <f t="shared" si="0"/>
        <v>368991</v>
      </c>
      <c r="P8" s="85">
        <f t="shared" si="0"/>
        <v>684097</v>
      </c>
      <c r="Q8" s="85">
        <f t="shared" si="0"/>
        <v>813758</v>
      </c>
      <c r="R8" s="85">
        <f t="shared" si="0"/>
        <v>4146314</v>
      </c>
      <c r="S8" s="86">
        <f>SUM(F8:R8)</f>
        <v>56853086</v>
      </c>
      <c r="T8" s="72"/>
    </row>
    <row r="9" spans="2:20" ht="22.5" customHeight="1">
      <c r="B9" s="72"/>
      <c r="C9" s="87" t="s">
        <v>268</v>
      </c>
      <c r="D9" s="88"/>
      <c r="E9" s="88"/>
      <c r="F9" s="89">
        <v>18462901</v>
      </c>
      <c r="G9" s="90">
        <v>4886216</v>
      </c>
      <c r="H9" s="90">
        <v>8156689</v>
      </c>
      <c r="I9" s="90">
        <v>0</v>
      </c>
      <c r="J9" s="90">
        <v>4132523</v>
      </c>
      <c r="K9" s="90">
        <v>4037763</v>
      </c>
      <c r="L9" s="90">
        <v>1283408</v>
      </c>
      <c r="M9" s="90">
        <v>693125</v>
      </c>
      <c r="N9" s="90">
        <v>2730000</v>
      </c>
      <c r="O9" s="90">
        <v>226150</v>
      </c>
      <c r="P9" s="90">
        <v>571913</v>
      </c>
      <c r="Q9" s="90">
        <v>653978</v>
      </c>
      <c r="R9" s="90">
        <v>3198870</v>
      </c>
      <c r="S9" s="91">
        <f aca="true" t="shared" si="1" ref="S9:S53">SUM(F9:R9)</f>
        <v>49033536</v>
      </c>
      <c r="T9" s="72"/>
    </row>
    <row r="10" spans="2:20" ht="22.5" customHeight="1">
      <c r="B10" s="72"/>
      <c r="D10" s="92" t="s">
        <v>269</v>
      </c>
      <c r="E10" s="88"/>
      <c r="F10" s="89">
        <v>11657596</v>
      </c>
      <c r="G10" s="90">
        <v>3000292</v>
      </c>
      <c r="H10" s="90">
        <v>5155731</v>
      </c>
      <c r="I10" s="90">
        <v>0</v>
      </c>
      <c r="J10" s="90">
        <v>2782547</v>
      </c>
      <c r="K10" s="90">
        <v>2252415</v>
      </c>
      <c r="L10" s="90">
        <v>597798</v>
      </c>
      <c r="M10" s="90">
        <v>336490</v>
      </c>
      <c r="N10" s="90">
        <v>1552141</v>
      </c>
      <c r="O10" s="90">
        <v>74908</v>
      </c>
      <c r="P10" s="90">
        <v>371821</v>
      </c>
      <c r="Q10" s="90">
        <v>280842</v>
      </c>
      <c r="R10" s="90">
        <v>2115570</v>
      </c>
      <c r="S10" s="91">
        <f t="shared" si="1"/>
        <v>30178151</v>
      </c>
      <c r="T10" s="72"/>
    </row>
    <row r="11" spans="2:20" ht="22.5" customHeight="1">
      <c r="B11" s="72"/>
      <c r="D11" s="92" t="s">
        <v>270</v>
      </c>
      <c r="E11" s="88"/>
      <c r="F11" s="89">
        <v>6221446</v>
      </c>
      <c r="G11" s="90">
        <v>1471336</v>
      </c>
      <c r="H11" s="90">
        <v>2797169</v>
      </c>
      <c r="I11" s="90">
        <v>0</v>
      </c>
      <c r="J11" s="90">
        <v>987399</v>
      </c>
      <c r="K11" s="90">
        <v>1603763</v>
      </c>
      <c r="L11" s="90">
        <v>589603</v>
      </c>
      <c r="M11" s="90">
        <v>297213</v>
      </c>
      <c r="N11" s="90">
        <v>837886</v>
      </c>
      <c r="O11" s="90">
        <v>118591</v>
      </c>
      <c r="P11" s="90">
        <v>136537</v>
      </c>
      <c r="Q11" s="90">
        <v>266264</v>
      </c>
      <c r="R11" s="90">
        <v>864106</v>
      </c>
      <c r="S11" s="91">
        <f t="shared" si="1"/>
        <v>16191313</v>
      </c>
      <c r="T11" s="72"/>
    </row>
    <row r="12" spans="2:20" ht="22.5" customHeight="1">
      <c r="B12" s="72"/>
      <c r="D12" s="87" t="s">
        <v>271</v>
      </c>
      <c r="E12" s="88"/>
      <c r="F12" s="89">
        <v>583859</v>
      </c>
      <c r="G12" s="90">
        <v>414588</v>
      </c>
      <c r="H12" s="90">
        <v>203789</v>
      </c>
      <c r="I12" s="90">
        <v>0</v>
      </c>
      <c r="J12" s="90">
        <v>362577</v>
      </c>
      <c r="K12" s="90">
        <v>181585</v>
      </c>
      <c r="L12" s="90">
        <v>96007</v>
      </c>
      <c r="M12" s="90">
        <v>59422</v>
      </c>
      <c r="N12" s="90">
        <v>339973</v>
      </c>
      <c r="O12" s="90">
        <v>32651</v>
      </c>
      <c r="P12" s="90">
        <v>63555</v>
      </c>
      <c r="Q12" s="90">
        <v>106872</v>
      </c>
      <c r="R12" s="90">
        <v>219194</v>
      </c>
      <c r="S12" s="91">
        <f t="shared" si="1"/>
        <v>2664072</v>
      </c>
      <c r="T12" s="72"/>
    </row>
    <row r="13" spans="2:20" ht="22.5" customHeight="1">
      <c r="B13" s="72"/>
      <c r="E13" s="92" t="s">
        <v>272</v>
      </c>
      <c r="F13" s="89">
        <v>144415</v>
      </c>
      <c r="G13" s="90">
        <v>49870</v>
      </c>
      <c r="H13" s="90">
        <v>69809</v>
      </c>
      <c r="I13" s="90">
        <v>0</v>
      </c>
      <c r="J13" s="90">
        <v>279491</v>
      </c>
      <c r="K13" s="90">
        <v>20663</v>
      </c>
      <c r="L13" s="90">
        <v>53174</v>
      </c>
      <c r="M13" s="90">
        <v>37991</v>
      </c>
      <c r="N13" s="90">
        <v>146900</v>
      </c>
      <c r="O13" s="90">
        <v>0</v>
      </c>
      <c r="P13" s="90">
        <v>3346</v>
      </c>
      <c r="Q13" s="90">
        <v>70000</v>
      </c>
      <c r="R13" s="90">
        <v>94952</v>
      </c>
      <c r="S13" s="91">
        <f t="shared" si="1"/>
        <v>970611</v>
      </c>
      <c r="T13" s="72"/>
    </row>
    <row r="14" spans="2:20" ht="22.5" customHeight="1">
      <c r="B14" s="72"/>
      <c r="C14" s="83"/>
      <c r="D14" s="83"/>
      <c r="E14" s="93" t="s">
        <v>273</v>
      </c>
      <c r="F14" s="94">
        <v>439444</v>
      </c>
      <c r="G14" s="95">
        <v>364718</v>
      </c>
      <c r="H14" s="95">
        <v>133980</v>
      </c>
      <c r="I14" s="95">
        <v>0</v>
      </c>
      <c r="J14" s="95">
        <v>83086</v>
      </c>
      <c r="K14" s="95">
        <v>160922</v>
      </c>
      <c r="L14" s="95">
        <v>42833</v>
      </c>
      <c r="M14" s="95">
        <v>21431</v>
      </c>
      <c r="N14" s="95">
        <v>193073</v>
      </c>
      <c r="O14" s="95">
        <v>32651</v>
      </c>
      <c r="P14" s="95">
        <v>60209</v>
      </c>
      <c r="Q14" s="95">
        <v>36872</v>
      </c>
      <c r="R14" s="95">
        <v>124242</v>
      </c>
      <c r="S14" s="86">
        <f t="shared" si="1"/>
        <v>1693461</v>
      </c>
      <c r="T14" s="72"/>
    </row>
    <row r="15" spans="2:20" ht="22.5" customHeight="1">
      <c r="B15" s="72"/>
      <c r="C15" s="87" t="s">
        <v>274</v>
      </c>
      <c r="D15" s="88"/>
      <c r="E15" s="88"/>
      <c r="F15" s="96">
        <v>927073</v>
      </c>
      <c r="G15" s="90">
        <v>1075804</v>
      </c>
      <c r="H15" s="90">
        <v>789074</v>
      </c>
      <c r="I15" s="90">
        <v>1129</v>
      </c>
      <c r="J15" s="90">
        <v>815406</v>
      </c>
      <c r="K15" s="90">
        <v>352549</v>
      </c>
      <c r="L15" s="90">
        <v>240946</v>
      </c>
      <c r="M15" s="90">
        <v>481683</v>
      </c>
      <c r="N15" s="90">
        <v>1239018</v>
      </c>
      <c r="O15" s="90">
        <v>142841</v>
      </c>
      <c r="P15" s="90">
        <v>75318</v>
      </c>
      <c r="Q15" s="90">
        <v>159780</v>
      </c>
      <c r="R15" s="90">
        <v>947444</v>
      </c>
      <c r="S15" s="91">
        <f t="shared" si="1"/>
        <v>7248065</v>
      </c>
      <c r="T15" s="72"/>
    </row>
    <row r="16" spans="2:20" ht="22.5" customHeight="1">
      <c r="B16" s="72"/>
      <c r="D16" s="88" t="s">
        <v>60</v>
      </c>
      <c r="E16" s="88"/>
      <c r="F16" s="417">
        <v>1820</v>
      </c>
      <c r="G16" s="418"/>
      <c r="H16" s="418">
        <v>243</v>
      </c>
      <c r="I16" s="418">
        <v>0</v>
      </c>
      <c r="J16" s="418">
        <v>1</v>
      </c>
      <c r="K16" s="418"/>
      <c r="L16" s="418">
        <v>1228</v>
      </c>
      <c r="M16" s="418">
        <v>0</v>
      </c>
      <c r="N16" s="418">
        <v>0</v>
      </c>
      <c r="O16" s="418">
        <v>524</v>
      </c>
      <c r="P16" s="418">
        <v>267</v>
      </c>
      <c r="Q16" s="418">
        <v>3</v>
      </c>
      <c r="R16" s="418">
        <v>93</v>
      </c>
      <c r="S16" s="91">
        <f t="shared" si="1"/>
        <v>4179</v>
      </c>
      <c r="T16" s="72"/>
    </row>
    <row r="17" spans="2:20" ht="22.5" customHeight="1">
      <c r="B17" s="72"/>
      <c r="D17" s="88" t="s">
        <v>61</v>
      </c>
      <c r="E17" s="88"/>
      <c r="F17" s="417">
        <v>0</v>
      </c>
      <c r="G17" s="418">
        <v>0</v>
      </c>
      <c r="H17" s="418">
        <v>0</v>
      </c>
      <c r="I17" s="418">
        <v>0</v>
      </c>
      <c r="J17" s="418">
        <v>20600</v>
      </c>
      <c r="K17" s="418">
        <v>0</v>
      </c>
      <c r="L17" s="418">
        <v>0</v>
      </c>
      <c r="M17" s="418">
        <v>0</v>
      </c>
      <c r="N17" s="418">
        <v>0</v>
      </c>
      <c r="O17" s="418">
        <v>0</v>
      </c>
      <c r="P17" s="418">
        <v>0</v>
      </c>
      <c r="Q17" s="418">
        <v>0</v>
      </c>
      <c r="R17" s="418">
        <v>0</v>
      </c>
      <c r="S17" s="91">
        <f t="shared" si="1"/>
        <v>20600</v>
      </c>
      <c r="T17" s="72"/>
    </row>
    <row r="18" spans="2:20" ht="22.5" customHeight="1">
      <c r="B18" s="72"/>
      <c r="D18" s="88" t="s">
        <v>62</v>
      </c>
      <c r="E18" s="88"/>
      <c r="F18" s="417">
        <v>17872</v>
      </c>
      <c r="G18" s="418">
        <v>3480</v>
      </c>
      <c r="H18" s="418">
        <v>0</v>
      </c>
      <c r="I18" s="418">
        <v>0</v>
      </c>
      <c r="J18" s="418">
        <v>6333</v>
      </c>
      <c r="K18" s="418"/>
      <c r="L18" s="418">
        <v>0</v>
      </c>
      <c r="M18" s="418">
        <v>0</v>
      </c>
      <c r="N18" s="418">
        <v>0</v>
      </c>
      <c r="O18" s="418">
        <v>0</v>
      </c>
      <c r="P18" s="418">
        <v>0</v>
      </c>
      <c r="Q18" s="418">
        <v>0</v>
      </c>
      <c r="R18" s="418">
        <v>0</v>
      </c>
      <c r="S18" s="91">
        <f t="shared" si="1"/>
        <v>27685</v>
      </c>
      <c r="T18" s="72"/>
    </row>
    <row r="19" spans="2:20" ht="22.5" customHeight="1">
      <c r="B19" s="72"/>
      <c r="D19" s="88" t="s">
        <v>63</v>
      </c>
      <c r="E19" s="88"/>
      <c r="F19" s="417">
        <v>9168</v>
      </c>
      <c r="G19" s="418">
        <v>3274</v>
      </c>
      <c r="H19" s="418">
        <v>10811</v>
      </c>
      <c r="I19" s="418">
        <v>0</v>
      </c>
      <c r="J19" s="418">
        <v>9443</v>
      </c>
      <c r="K19" s="418">
        <v>2016</v>
      </c>
      <c r="L19" s="418">
        <v>0</v>
      </c>
      <c r="M19" s="418">
        <v>0</v>
      </c>
      <c r="N19" s="418">
        <v>14409</v>
      </c>
      <c r="O19" s="418">
        <v>0</v>
      </c>
      <c r="P19" s="418">
        <v>0</v>
      </c>
      <c r="Q19" s="418">
        <v>0</v>
      </c>
      <c r="R19" s="418">
        <v>55842</v>
      </c>
      <c r="S19" s="91">
        <f t="shared" si="1"/>
        <v>104963</v>
      </c>
      <c r="T19" s="72"/>
    </row>
    <row r="20" spans="2:20" ht="22.5" customHeight="1">
      <c r="B20" s="72"/>
      <c r="D20" s="88" t="s">
        <v>64</v>
      </c>
      <c r="E20" s="88"/>
      <c r="F20" s="417">
        <v>396339</v>
      </c>
      <c r="G20" s="418">
        <v>826571</v>
      </c>
      <c r="H20" s="418">
        <v>275277</v>
      </c>
      <c r="I20" s="418">
        <v>0</v>
      </c>
      <c r="J20" s="418">
        <v>121030</v>
      </c>
      <c r="K20" s="418"/>
      <c r="L20" s="418">
        <v>166216</v>
      </c>
      <c r="M20" s="418">
        <v>127143</v>
      </c>
      <c r="N20" s="418">
        <v>226294</v>
      </c>
      <c r="O20" s="418">
        <v>110000</v>
      </c>
      <c r="P20" s="418">
        <v>2440</v>
      </c>
      <c r="Q20" s="418">
        <v>50840</v>
      </c>
      <c r="R20" s="418">
        <v>152546</v>
      </c>
      <c r="S20" s="91">
        <f t="shared" si="1"/>
        <v>2454696</v>
      </c>
      <c r="T20" s="72"/>
    </row>
    <row r="21" spans="2:20" ht="22.5" customHeight="1">
      <c r="B21" s="72"/>
      <c r="D21" s="88" t="s">
        <v>65</v>
      </c>
      <c r="E21" s="88"/>
      <c r="F21" s="417">
        <v>125772</v>
      </c>
      <c r="G21" s="418">
        <v>41207</v>
      </c>
      <c r="H21" s="418">
        <v>145855</v>
      </c>
      <c r="I21" s="418">
        <v>0</v>
      </c>
      <c r="J21" s="418">
        <v>370917</v>
      </c>
      <c r="K21" s="418">
        <v>87724</v>
      </c>
      <c r="L21" s="418">
        <v>62481</v>
      </c>
      <c r="M21" s="418">
        <v>264318</v>
      </c>
      <c r="N21" s="418">
        <v>738663</v>
      </c>
      <c r="O21" s="418">
        <v>2559</v>
      </c>
      <c r="P21" s="418">
        <v>63511</v>
      </c>
      <c r="Q21" s="418">
        <v>92488</v>
      </c>
      <c r="R21" s="418">
        <v>29762</v>
      </c>
      <c r="S21" s="91">
        <f t="shared" si="1"/>
        <v>2025257</v>
      </c>
      <c r="T21" s="72"/>
    </row>
    <row r="22" spans="2:20" ht="22.5" customHeight="1">
      <c r="B22" s="72"/>
      <c r="D22" s="506" t="s">
        <v>464</v>
      </c>
      <c r="E22" s="88"/>
      <c r="F22" s="417">
        <v>239390</v>
      </c>
      <c r="G22" s="418">
        <v>135184</v>
      </c>
      <c r="H22" s="418">
        <v>248155</v>
      </c>
      <c r="I22" s="418">
        <v>0</v>
      </c>
      <c r="J22" s="418">
        <v>83818</v>
      </c>
      <c r="K22" s="418">
        <v>234236</v>
      </c>
      <c r="L22" s="418">
        <v>300</v>
      </c>
      <c r="M22" s="418">
        <v>77854</v>
      </c>
      <c r="N22" s="418">
        <v>216780</v>
      </c>
      <c r="O22" s="418"/>
      <c r="P22" s="418">
        <v>4578</v>
      </c>
      <c r="Q22" s="418">
        <v>10026</v>
      </c>
      <c r="R22" s="418">
        <v>161257</v>
      </c>
      <c r="S22" s="91">
        <f t="shared" si="1"/>
        <v>1411578</v>
      </c>
      <c r="T22" s="72"/>
    </row>
    <row r="23" spans="2:20" ht="22.5" customHeight="1">
      <c r="B23" s="72"/>
      <c r="D23" s="506" t="s">
        <v>465</v>
      </c>
      <c r="E23" s="88"/>
      <c r="F23" s="417"/>
      <c r="G23" s="418"/>
      <c r="H23" s="418"/>
      <c r="I23" s="418">
        <v>0</v>
      </c>
      <c r="J23" s="418"/>
      <c r="K23" s="418"/>
      <c r="L23" s="418"/>
      <c r="M23" s="418"/>
      <c r="N23" s="418"/>
      <c r="O23" s="418"/>
      <c r="P23" s="418"/>
      <c r="Q23" s="418"/>
      <c r="R23" s="418"/>
      <c r="S23" s="91">
        <f t="shared" si="1"/>
        <v>0</v>
      </c>
      <c r="T23" s="72"/>
    </row>
    <row r="24" spans="2:20" ht="22.5" customHeight="1">
      <c r="B24" s="97"/>
      <c r="C24" s="83"/>
      <c r="D24" s="83" t="s">
        <v>66</v>
      </c>
      <c r="E24" s="83"/>
      <c r="F24" s="419">
        <v>136712</v>
      </c>
      <c r="G24" s="420">
        <v>66088</v>
      </c>
      <c r="H24" s="420">
        <v>108733</v>
      </c>
      <c r="I24" s="420">
        <v>1129</v>
      </c>
      <c r="J24" s="420">
        <v>203264</v>
      </c>
      <c r="K24" s="420">
        <v>28573</v>
      </c>
      <c r="L24" s="420">
        <v>10721</v>
      </c>
      <c r="M24" s="420">
        <v>12368</v>
      </c>
      <c r="N24" s="420">
        <v>42872</v>
      </c>
      <c r="O24" s="420">
        <v>29758</v>
      </c>
      <c r="P24" s="420">
        <v>4522</v>
      </c>
      <c r="Q24" s="420">
        <v>6423</v>
      </c>
      <c r="R24" s="420">
        <v>547944</v>
      </c>
      <c r="S24" s="86">
        <f t="shared" si="1"/>
        <v>1199107</v>
      </c>
      <c r="T24" s="72"/>
    </row>
    <row r="25" spans="2:20" ht="22.5" customHeight="1">
      <c r="B25" s="82" t="s">
        <v>275</v>
      </c>
      <c r="C25" s="83"/>
      <c r="D25" s="83"/>
      <c r="E25" s="83"/>
      <c r="F25" s="94">
        <f>F26+F31+F43</f>
        <v>21591525</v>
      </c>
      <c r="G25" s="95">
        <f aca="true" t="shared" si="2" ref="G25:R25">G26+G31+G43</f>
        <v>8028008</v>
      </c>
      <c r="H25" s="95">
        <f t="shared" si="2"/>
        <v>8900237</v>
      </c>
      <c r="I25" s="95">
        <f t="shared" si="2"/>
        <v>1129</v>
      </c>
      <c r="J25" s="95">
        <f t="shared" si="2"/>
        <v>5953084</v>
      </c>
      <c r="K25" s="95">
        <f t="shared" si="2"/>
        <v>4487009</v>
      </c>
      <c r="L25" s="95">
        <f t="shared" si="2"/>
        <v>1703666</v>
      </c>
      <c r="M25" s="95">
        <f t="shared" si="2"/>
        <v>1348364</v>
      </c>
      <c r="N25" s="95">
        <f t="shared" si="2"/>
        <v>4137264</v>
      </c>
      <c r="O25" s="95">
        <f t="shared" si="2"/>
        <v>487437</v>
      </c>
      <c r="P25" s="95">
        <f t="shared" si="2"/>
        <v>748702</v>
      </c>
      <c r="Q25" s="95">
        <f t="shared" si="2"/>
        <v>837184</v>
      </c>
      <c r="R25" s="95">
        <f t="shared" si="2"/>
        <v>4556158</v>
      </c>
      <c r="S25" s="86">
        <f t="shared" si="1"/>
        <v>62779767</v>
      </c>
      <c r="T25" s="72"/>
    </row>
    <row r="26" spans="2:20" ht="22.5" customHeight="1">
      <c r="B26" s="72"/>
      <c r="C26" s="87" t="s">
        <v>276</v>
      </c>
      <c r="D26" s="88"/>
      <c r="E26" s="88"/>
      <c r="F26" s="89">
        <v>17914063</v>
      </c>
      <c r="G26" s="90">
        <v>5624805</v>
      </c>
      <c r="H26" s="90">
        <v>7911325</v>
      </c>
      <c r="I26" s="90">
        <v>0</v>
      </c>
      <c r="J26" s="90">
        <v>4492918</v>
      </c>
      <c r="K26" s="90">
        <v>4137326</v>
      </c>
      <c r="L26" s="90">
        <v>1578812</v>
      </c>
      <c r="M26" s="90">
        <v>1260179</v>
      </c>
      <c r="N26" s="90">
        <v>3671717</v>
      </c>
      <c r="O26" s="90">
        <v>462676</v>
      </c>
      <c r="P26" s="90">
        <v>634798</v>
      </c>
      <c r="Q26" s="90">
        <v>802050</v>
      </c>
      <c r="R26" s="90">
        <v>3697271</v>
      </c>
      <c r="S26" s="91">
        <f t="shared" si="1"/>
        <v>52187940</v>
      </c>
      <c r="T26" s="72"/>
    </row>
    <row r="27" spans="2:20" ht="22.5" customHeight="1">
      <c r="B27" s="72"/>
      <c r="D27" s="88" t="s">
        <v>67</v>
      </c>
      <c r="E27" s="88"/>
      <c r="F27" s="89">
        <v>7944925</v>
      </c>
      <c r="G27" s="90">
        <v>3492007</v>
      </c>
      <c r="H27" s="90">
        <v>3951262</v>
      </c>
      <c r="I27" s="90">
        <v>0</v>
      </c>
      <c r="J27" s="90">
        <v>2489902</v>
      </c>
      <c r="K27" s="90">
        <v>2274572</v>
      </c>
      <c r="L27" s="90">
        <v>802278</v>
      </c>
      <c r="M27" s="90">
        <v>846725</v>
      </c>
      <c r="N27" s="90">
        <v>2033760</v>
      </c>
      <c r="O27" s="90">
        <v>328896</v>
      </c>
      <c r="P27" s="90">
        <v>378720</v>
      </c>
      <c r="Q27" s="90">
        <v>476440</v>
      </c>
      <c r="R27" s="90">
        <v>2069808</v>
      </c>
      <c r="S27" s="91">
        <f t="shared" si="1"/>
        <v>27089295</v>
      </c>
      <c r="T27" s="72"/>
    </row>
    <row r="28" spans="2:20" ht="22.5" customHeight="1">
      <c r="B28" s="72"/>
      <c r="D28" s="88" t="s">
        <v>68</v>
      </c>
      <c r="E28" s="88"/>
      <c r="F28" s="89">
        <v>5464069</v>
      </c>
      <c r="G28" s="90">
        <v>971459</v>
      </c>
      <c r="H28" s="90">
        <v>2394291</v>
      </c>
      <c r="I28" s="90">
        <v>0</v>
      </c>
      <c r="J28" s="90">
        <v>871020</v>
      </c>
      <c r="K28" s="90">
        <v>921260</v>
      </c>
      <c r="L28" s="90">
        <v>293607</v>
      </c>
      <c r="M28" s="90">
        <v>119687</v>
      </c>
      <c r="N28" s="90">
        <v>612997</v>
      </c>
      <c r="O28" s="90">
        <v>43607</v>
      </c>
      <c r="P28" s="90">
        <v>56982</v>
      </c>
      <c r="Q28" s="90">
        <v>63105</v>
      </c>
      <c r="R28" s="90">
        <v>575612</v>
      </c>
      <c r="S28" s="91">
        <f t="shared" si="1"/>
        <v>12387696</v>
      </c>
      <c r="T28" s="72"/>
    </row>
    <row r="29" spans="2:20" ht="22.5" customHeight="1">
      <c r="B29" s="72"/>
      <c r="D29" s="88" t="s">
        <v>69</v>
      </c>
      <c r="E29" s="88"/>
      <c r="F29" s="89">
        <v>1263906</v>
      </c>
      <c r="G29" s="90">
        <v>245644</v>
      </c>
      <c r="H29" s="90">
        <v>512585</v>
      </c>
      <c r="I29" s="90">
        <v>0</v>
      </c>
      <c r="J29" s="90">
        <v>262754</v>
      </c>
      <c r="K29" s="90">
        <v>252899</v>
      </c>
      <c r="L29" s="90">
        <v>131422</v>
      </c>
      <c r="M29" s="90">
        <v>113798</v>
      </c>
      <c r="N29" s="90">
        <v>334335</v>
      </c>
      <c r="O29" s="90">
        <v>27992</v>
      </c>
      <c r="P29" s="90">
        <v>40919</v>
      </c>
      <c r="Q29" s="90">
        <v>49838</v>
      </c>
      <c r="R29" s="90">
        <v>248780</v>
      </c>
      <c r="S29" s="91">
        <f t="shared" si="1"/>
        <v>3484872</v>
      </c>
      <c r="T29" s="72"/>
    </row>
    <row r="30" spans="2:20" ht="22.5" customHeight="1">
      <c r="B30" s="72"/>
      <c r="C30" s="83"/>
      <c r="D30" s="83" t="s">
        <v>70</v>
      </c>
      <c r="E30" s="83"/>
      <c r="F30" s="94">
        <v>3241163</v>
      </c>
      <c r="G30" s="95">
        <v>915695</v>
      </c>
      <c r="H30" s="95">
        <v>1053187</v>
      </c>
      <c r="I30" s="95">
        <v>0</v>
      </c>
      <c r="J30" s="95">
        <v>869242</v>
      </c>
      <c r="K30" s="95">
        <v>688595</v>
      </c>
      <c r="L30" s="95">
        <v>351505</v>
      </c>
      <c r="M30" s="95">
        <v>179969</v>
      </c>
      <c r="N30" s="95">
        <v>690625</v>
      </c>
      <c r="O30" s="95">
        <v>62181</v>
      </c>
      <c r="P30" s="95">
        <v>158177</v>
      </c>
      <c r="Q30" s="95">
        <v>212667</v>
      </c>
      <c r="R30" s="95">
        <v>803071</v>
      </c>
      <c r="S30" s="86">
        <f t="shared" si="1"/>
        <v>9226077</v>
      </c>
      <c r="T30" s="72"/>
    </row>
    <row r="31" spans="2:20" ht="22.5" customHeight="1">
      <c r="B31" s="72"/>
      <c r="C31" s="87" t="s">
        <v>277</v>
      </c>
      <c r="D31" s="88"/>
      <c r="E31" s="88"/>
      <c r="F31" s="89">
        <v>821281</v>
      </c>
      <c r="G31" s="90">
        <v>190487</v>
      </c>
      <c r="H31" s="90">
        <v>525933</v>
      </c>
      <c r="I31" s="90">
        <v>1129</v>
      </c>
      <c r="J31" s="90">
        <v>726032</v>
      </c>
      <c r="K31" s="90">
        <v>233304</v>
      </c>
      <c r="L31" s="90">
        <v>82469</v>
      </c>
      <c r="M31" s="90">
        <v>44770</v>
      </c>
      <c r="N31" s="90">
        <v>169297</v>
      </c>
      <c r="O31" s="90">
        <v>6188</v>
      </c>
      <c r="P31" s="90">
        <v>30319</v>
      </c>
      <c r="Q31" s="90">
        <v>14749</v>
      </c>
      <c r="R31" s="90">
        <v>663725</v>
      </c>
      <c r="S31" s="91">
        <f t="shared" si="1"/>
        <v>3509683</v>
      </c>
      <c r="T31" s="72"/>
    </row>
    <row r="32" spans="2:20" ht="22.5" customHeight="1">
      <c r="B32" s="72"/>
      <c r="D32" s="88" t="s">
        <v>71</v>
      </c>
      <c r="E32" s="88"/>
      <c r="F32" s="89">
        <v>130128</v>
      </c>
      <c r="G32" s="90">
        <v>12785</v>
      </c>
      <c r="H32" s="90">
        <v>214820</v>
      </c>
      <c r="I32" s="90">
        <v>1129</v>
      </c>
      <c r="J32" s="90">
        <v>203153</v>
      </c>
      <c r="K32" s="90">
        <v>92481</v>
      </c>
      <c r="L32" s="90">
        <v>22516</v>
      </c>
      <c r="M32" s="90">
        <v>27214</v>
      </c>
      <c r="N32" s="90">
        <v>32814</v>
      </c>
      <c r="O32" s="90">
        <v>2559</v>
      </c>
      <c r="P32" s="90">
        <v>13320</v>
      </c>
      <c r="Q32" s="90">
        <v>4502</v>
      </c>
      <c r="R32" s="90">
        <v>45057</v>
      </c>
      <c r="S32" s="91">
        <f t="shared" si="1"/>
        <v>802478</v>
      </c>
      <c r="T32" s="72"/>
    </row>
    <row r="33" spans="2:20" ht="22.5" customHeight="1">
      <c r="B33" s="72"/>
      <c r="D33" s="88" t="s">
        <v>72</v>
      </c>
      <c r="E33" s="88"/>
      <c r="F33" s="89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/>
      <c r="R33" s="90">
        <v>0</v>
      </c>
      <c r="S33" s="91">
        <f t="shared" si="1"/>
        <v>0</v>
      </c>
      <c r="T33" s="72"/>
    </row>
    <row r="34" spans="2:20" ht="22.5" customHeight="1">
      <c r="B34" s="72"/>
      <c r="D34" s="88" t="s">
        <v>73</v>
      </c>
      <c r="E34" s="88"/>
      <c r="F34" s="89">
        <v>0</v>
      </c>
      <c r="G34" s="90">
        <v>0</v>
      </c>
      <c r="H34" s="90">
        <v>0</v>
      </c>
      <c r="I34" s="90">
        <v>0</v>
      </c>
      <c r="J34" s="90">
        <v>132904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1">
        <f t="shared" si="1"/>
        <v>132904</v>
      </c>
      <c r="T34" s="72"/>
    </row>
    <row r="35" spans="2:20" ht="22.5" customHeight="1">
      <c r="B35" s="72"/>
      <c r="D35" s="88" t="s">
        <v>74</v>
      </c>
      <c r="E35" s="88"/>
      <c r="F35" s="89"/>
      <c r="G35" s="90"/>
      <c r="H35" s="90"/>
      <c r="I35" s="90">
        <v>0</v>
      </c>
      <c r="J35" s="90">
        <v>0</v>
      </c>
      <c r="K35" s="90">
        <v>6713</v>
      </c>
      <c r="L35" s="90">
        <v>7021</v>
      </c>
      <c r="M35" s="90">
        <v>0</v>
      </c>
      <c r="N35" s="90">
        <v>0</v>
      </c>
      <c r="O35" s="90">
        <v>0</v>
      </c>
      <c r="P35" s="90">
        <v>2519</v>
      </c>
      <c r="Q35" s="90">
        <v>0</v>
      </c>
      <c r="R35" s="90">
        <v>14037</v>
      </c>
      <c r="S35" s="91">
        <f t="shared" si="1"/>
        <v>30290</v>
      </c>
      <c r="T35" s="72"/>
    </row>
    <row r="36" spans="2:20" ht="22.5" customHeight="1">
      <c r="B36" s="97"/>
      <c r="C36" s="83"/>
      <c r="D36" s="83" t="s">
        <v>75</v>
      </c>
      <c r="E36" s="83"/>
      <c r="F36" s="94">
        <v>691153</v>
      </c>
      <c r="G36" s="95">
        <v>177702</v>
      </c>
      <c r="H36" s="95">
        <v>311113</v>
      </c>
      <c r="I36" s="95">
        <v>0</v>
      </c>
      <c r="J36" s="95">
        <v>389975</v>
      </c>
      <c r="K36" s="95">
        <v>134110</v>
      </c>
      <c r="L36" s="95">
        <v>52932</v>
      </c>
      <c r="M36" s="95">
        <v>17556</v>
      </c>
      <c r="N36" s="95">
        <v>136483</v>
      </c>
      <c r="O36" s="95">
        <v>3629</v>
      </c>
      <c r="P36" s="95">
        <v>14480</v>
      </c>
      <c r="Q36" s="95">
        <v>10247</v>
      </c>
      <c r="R36" s="95">
        <v>604631</v>
      </c>
      <c r="S36" s="86">
        <f t="shared" si="1"/>
        <v>2544011</v>
      </c>
      <c r="T36" s="72"/>
    </row>
    <row r="37" spans="2:20" ht="22.5" customHeight="1">
      <c r="B37" s="97" t="s">
        <v>76</v>
      </c>
      <c r="C37" s="83"/>
      <c r="D37" s="83"/>
      <c r="E37" s="532"/>
      <c r="F37" s="531">
        <f>IF((F9+F15)-(F26+F31)&lt;0,0,(F9+F15)-(F26+F31))</f>
        <v>654630</v>
      </c>
      <c r="G37" s="95">
        <f>IF((G9+G15)-(G26+G31)&lt;0,0,(G9+G15)-(G26+G31))</f>
        <v>146728</v>
      </c>
      <c r="H37" s="95">
        <f>IF((H9+H15)-(H26+H31)&lt;0,0,(H9+H15)-(H26+H31))</f>
        <v>508505</v>
      </c>
      <c r="I37" s="95">
        <f>IF((I9+I15)-(I26+I31)&lt;0,0,(I9+I15)-(I26+I31))</f>
        <v>0</v>
      </c>
      <c r="J37" s="95">
        <f>IF((J9+J15)-(J26+J31)&lt;0,0,(J9+J15)-(J26+J31))</f>
        <v>0</v>
      </c>
      <c r="K37" s="95">
        <f aca="true" t="shared" si="3" ref="K37:R37">IF((K9+K15)-(K26+K31)&lt;0,0,(K9+K15)-(K26+K31))</f>
        <v>19682</v>
      </c>
      <c r="L37" s="95">
        <f t="shared" si="3"/>
        <v>0</v>
      </c>
      <c r="M37" s="95">
        <f t="shared" si="3"/>
        <v>0</v>
      </c>
      <c r="N37" s="95">
        <f t="shared" si="3"/>
        <v>128004</v>
      </c>
      <c r="O37" s="95">
        <f t="shared" si="3"/>
        <v>0</v>
      </c>
      <c r="P37" s="95">
        <f t="shared" si="3"/>
        <v>0</v>
      </c>
      <c r="Q37" s="95">
        <f t="shared" si="3"/>
        <v>0</v>
      </c>
      <c r="R37" s="95">
        <f t="shared" si="3"/>
        <v>0</v>
      </c>
      <c r="S37" s="86">
        <f t="shared" si="1"/>
        <v>1457549</v>
      </c>
      <c r="T37" s="72"/>
    </row>
    <row r="38" spans="2:20" ht="22.5" customHeight="1">
      <c r="B38" s="97" t="s">
        <v>77</v>
      </c>
      <c r="C38" s="83"/>
      <c r="D38" s="83"/>
      <c r="E38" s="533"/>
      <c r="F38" s="531">
        <f>IF((F9+F15)-(F26+F31)&gt;0,0,(F9+F15)-(F26+F31))</f>
        <v>0</v>
      </c>
      <c r="G38" s="95">
        <f aca="true" t="shared" si="4" ref="G38:R38">IF((G9+G15)-(G26+G31)&gt;0,0,(G9+G15)-(G26+G31))</f>
        <v>0</v>
      </c>
      <c r="H38" s="95">
        <f t="shared" si="4"/>
        <v>0</v>
      </c>
      <c r="I38" s="95">
        <f t="shared" si="4"/>
        <v>0</v>
      </c>
      <c r="J38" s="95">
        <f t="shared" si="4"/>
        <v>-271021</v>
      </c>
      <c r="K38" s="95">
        <f t="shared" si="4"/>
        <v>0</v>
      </c>
      <c r="L38" s="95">
        <f t="shared" si="4"/>
        <v>-136927</v>
      </c>
      <c r="M38" s="95">
        <f t="shared" si="4"/>
        <v>-130141</v>
      </c>
      <c r="N38" s="95">
        <f t="shared" si="4"/>
        <v>0</v>
      </c>
      <c r="O38" s="95">
        <f t="shared" si="4"/>
        <v>-99873</v>
      </c>
      <c r="P38" s="95">
        <f t="shared" si="4"/>
        <v>-17886</v>
      </c>
      <c r="Q38" s="95">
        <f t="shared" si="4"/>
        <v>-3041</v>
      </c>
      <c r="R38" s="95">
        <f t="shared" si="4"/>
        <v>-214682</v>
      </c>
      <c r="S38" s="86">
        <f t="shared" si="1"/>
        <v>-873571</v>
      </c>
      <c r="T38" s="72"/>
    </row>
    <row r="39" spans="2:20" ht="22.5" customHeight="1">
      <c r="B39" s="72" t="s">
        <v>78</v>
      </c>
      <c r="C39" s="83"/>
      <c r="D39" s="83"/>
      <c r="E39" s="83"/>
      <c r="F39" s="94">
        <v>86801</v>
      </c>
      <c r="G39" s="95">
        <v>51519</v>
      </c>
      <c r="H39" s="95">
        <v>238290</v>
      </c>
      <c r="I39" s="95">
        <v>0</v>
      </c>
      <c r="J39" s="95">
        <v>125351</v>
      </c>
      <c r="K39" s="95">
        <v>4171</v>
      </c>
      <c r="L39" s="95">
        <v>0</v>
      </c>
      <c r="M39" s="95">
        <v>0</v>
      </c>
      <c r="N39" s="95">
        <v>28487</v>
      </c>
      <c r="O39" s="95">
        <v>0</v>
      </c>
      <c r="P39" s="95">
        <v>36866</v>
      </c>
      <c r="Q39" s="95">
        <v>0</v>
      </c>
      <c r="R39" s="95">
        <v>0</v>
      </c>
      <c r="S39" s="86">
        <f t="shared" si="1"/>
        <v>571485</v>
      </c>
      <c r="T39" s="72"/>
    </row>
    <row r="40" spans="2:20" ht="22.5" customHeight="1">
      <c r="B40" s="72"/>
      <c r="C40" s="83" t="s">
        <v>79</v>
      </c>
      <c r="D40" s="83"/>
      <c r="E40" s="83"/>
      <c r="F40" s="94">
        <v>0</v>
      </c>
      <c r="G40" s="95">
        <v>0</v>
      </c>
      <c r="H40" s="95">
        <v>0</v>
      </c>
      <c r="I40" s="95">
        <v>0</v>
      </c>
      <c r="J40" s="95">
        <v>97852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36866</v>
      </c>
      <c r="Q40" s="95">
        <v>0</v>
      </c>
      <c r="R40" s="95">
        <v>0</v>
      </c>
      <c r="S40" s="86">
        <f t="shared" si="1"/>
        <v>134718</v>
      </c>
      <c r="T40" s="72"/>
    </row>
    <row r="41" spans="2:20" ht="22.5" customHeight="1">
      <c r="B41" s="72"/>
      <c r="C41" s="83" t="s">
        <v>80</v>
      </c>
      <c r="D41" s="83"/>
      <c r="E41" s="83"/>
      <c r="F41" s="94">
        <v>153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86">
        <f t="shared" si="1"/>
        <v>153</v>
      </c>
      <c r="T41" s="72"/>
    </row>
    <row r="42" spans="2:20" ht="22.5" customHeight="1">
      <c r="B42" s="97"/>
      <c r="C42" s="83" t="s">
        <v>81</v>
      </c>
      <c r="D42" s="83"/>
      <c r="E42" s="83"/>
      <c r="F42" s="94">
        <v>86648</v>
      </c>
      <c r="G42" s="95">
        <v>51519</v>
      </c>
      <c r="H42" s="95">
        <v>238290</v>
      </c>
      <c r="I42" s="95">
        <v>0</v>
      </c>
      <c r="J42" s="95">
        <v>27499</v>
      </c>
      <c r="K42" s="95">
        <v>4171</v>
      </c>
      <c r="L42" s="95"/>
      <c r="M42" s="95"/>
      <c r="N42" s="95">
        <v>28487</v>
      </c>
      <c r="O42" s="95"/>
      <c r="P42" s="95">
        <v>0</v>
      </c>
      <c r="Q42" s="95">
        <v>0</v>
      </c>
      <c r="R42" s="95">
        <v>0</v>
      </c>
      <c r="S42" s="86">
        <f t="shared" si="1"/>
        <v>436614</v>
      </c>
      <c r="T42" s="72"/>
    </row>
    <row r="43" spans="2:20" ht="22.5" customHeight="1">
      <c r="B43" s="82" t="s">
        <v>278</v>
      </c>
      <c r="C43" s="83"/>
      <c r="D43" s="83"/>
      <c r="E43" s="83"/>
      <c r="F43" s="94">
        <v>2856181</v>
      </c>
      <c r="G43" s="95">
        <v>2212716</v>
      </c>
      <c r="H43" s="95">
        <v>462979</v>
      </c>
      <c r="I43" s="95">
        <v>0</v>
      </c>
      <c r="J43" s="95">
        <v>734134</v>
      </c>
      <c r="K43" s="95">
        <v>116379</v>
      </c>
      <c r="L43" s="95">
        <v>42385</v>
      </c>
      <c r="M43" s="95">
        <v>43415</v>
      </c>
      <c r="N43" s="95">
        <v>296250</v>
      </c>
      <c r="O43" s="95">
        <v>18573</v>
      </c>
      <c r="P43" s="95">
        <v>83585</v>
      </c>
      <c r="Q43" s="95">
        <v>20385</v>
      </c>
      <c r="R43" s="95">
        <v>195162</v>
      </c>
      <c r="S43" s="86">
        <f t="shared" si="1"/>
        <v>7082144</v>
      </c>
      <c r="T43" s="72"/>
    </row>
    <row r="44" spans="2:20" ht="22.5" customHeight="1">
      <c r="B44" s="72"/>
      <c r="C44" s="83" t="s">
        <v>82</v>
      </c>
      <c r="D44" s="83"/>
      <c r="E44" s="83"/>
      <c r="F44" s="94">
        <v>2807624</v>
      </c>
      <c r="G44" s="95">
        <v>2210916</v>
      </c>
      <c r="H44" s="95">
        <v>398749</v>
      </c>
      <c r="I44" s="95">
        <v>0</v>
      </c>
      <c r="J44" s="95">
        <v>733467</v>
      </c>
      <c r="K44" s="95">
        <v>114825</v>
      </c>
      <c r="L44" s="95">
        <v>40573</v>
      </c>
      <c r="M44" s="95">
        <v>42961</v>
      </c>
      <c r="N44" s="95">
        <v>291818</v>
      </c>
      <c r="O44" s="95">
        <v>18573</v>
      </c>
      <c r="P44" s="95">
        <v>46720</v>
      </c>
      <c r="Q44" s="95">
        <v>20385</v>
      </c>
      <c r="R44" s="95">
        <v>176437</v>
      </c>
      <c r="S44" s="86">
        <f t="shared" si="1"/>
        <v>6903048</v>
      </c>
      <c r="T44" s="72"/>
    </row>
    <row r="45" spans="2:20" ht="22.5" customHeight="1">
      <c r="B45" s="97"/>
      <c r="C45" s="83" t="s">
        <v>83</v>
      </c>
      <c r="D45" s="83"/>
      <c r="E45" s="83"/>
      <c r="F45" s="94">
        <v>48557</v>
      </c>
      <c r="G45" s="95">
        <v>1800</v>
      </c>
      <c r="H45" s="95">
        <v>64230</v>
      </c>
      <c r="I45" s="95">
        <v>0</v>
      </c>
      <c r="J45" s="95">
        <v>667</v>
      </c>
      <c r="K45" s="95">
        <v>1554</v>
      </c>
      <c r="L45" s="95">
        <v>1812</v>
      </c>
      <c r="M45" s="95">
        <v>454</v>
      </c>
      <c r="N45" s="95">
        <v>4432</v>
      </c>
      <c r="O45" s="95">
        <v>0</v>
      </c>
      <c r="P45" s="95">
        <v>36865</v>
      </c>
      <c r="Q45" s="95">
        <v>0</v>
      </c>
      <c r="R45" s="95">
        <v>18725</v>
      </c>
      <c r="S45" s="86">
        <f t="shared" si="1"/>
        <v>179096</v>
      </c>
      <c r="T45" s="72"/>
    </row>
    <row r="46" spans="2:20" ht="22.5" customHeight="1">
      <c r="B46" s="97" t="s">
        <v>84</v>
      </c>
      <c r="C46" s="83"/>
      <c r="D46" s="83"/>
      <c r="E46" s="83"/>
      <c r="F46" s="94">
        <f>IF(F37+F38+F39-F43&lt;0,0,F37+F38+F39-F43)</f>
        <v>0</v>
      </c>
      <c r="G46" s="95">
        <f aca="true" t="shared" si="5" ref="G46:R46">IF(G37+G38+G39-G43&lt;0,0,G37+G38+G39-G43)</f>
        <v>0</v>
      </c>
      <c r="H46" s="95">
        <f t="shared" si="5"/>
        <v>283816</v>
      </c>
      <c r="I46" s="95">
        <f t="shared" si="5"/>
        <v>0</v>
      </c>
      <c r="J46" s="95">
        <f t="shared" si="5"/>
        <v>0</v>
      </c>
      <c r="K46" s="95">
        <f t="shared" si="5"/>
        <v>0</v>
      </c>
      <c r="L46" s="95">
        <f t="shared" si="5"/>
        <v>0</v>
      </c>
      <c r="M46" s="95">
        <f t="shared" si="5"/>
        <v>0</v>
      </c>
      <c r="N46" s="95">
        <f t="shared" si="5"/>
        <v>0</v>
      </c>
      <c r="O46" s="95">
        <f t="shared" si="5"/>
        <v>0</v>
      </c>
      <c r="P46" s="95">
        <f t="shared" si="5"/>
        <v>0</v>
      </c>
      <c r="Q46" s="95">
        <f t="shared" si="5"/>
        <v>0</v>
      </c>
      <c r="R46" s="95">
        <f t="shared" si="5"/>
        <v>0</v>
      </c>
      <c r="S46" s="86">
        <f t="shared" si="1"/>
        <v>283816</v>
      </c>
      <c r="T46" s="72"/>
    </row>
    <row r="47" spans="2:20" ht="22.5" customHeight="1">
      <c r="B47" s="97" t="s">
        <v>85</v>
      </c>
      <c r="C47" s="83"/>
      <c r="D47" s="83"/>
      <c r="E47" s="83"/>
      <c r="F47" s="94">
        <f>IF(F37+F38+F39-F43&gt;0,0,F37+F38+F39-F43)</f>
        <v>-2114750</v>
      </c>
      <c r="G47" s="95">
        <f aca="true" t="shared" si="6" ref="G47:R47">IF(G37+G38+G39-G43&gt;0,0,G37+G38+G39-G43)</f>
        <v>-2014469</v>
      </c>
      <c r="H47" s="95">
        <f t="shared" si="6"/>
        <v>0</v>
      </c>
      <c r="I47" s="95">
        <f t="shared" si="6"/>
        <v>0</v>
      </c>
      <c r="J47" s="95">
        <f t="shared" si="6"/>
        <v>-879804</v>
      </c>
      <c r="K47" s="95">
        <f t="shared" si="6"/>
        <v>-92526</v>
      </c>
      <c r="L47" s="95">
        <f t="shared" si="6"/>
        <v>-179312</v>
      </c>
      <c r="M47" s="95">
        <f t="shared" si="6"/>
        <v>-173556</v>
      </c>
      <c r="N47" s="95">
        <f t="shared" si="6"/>
        <v>-139759</v>
      </c>
      <c r="O47" s="95">
        <f t="shared" si="6"/>
        <v>-118446</v>
      </c>
      <c r="P47" s="95">
        <f t="shared" si="6"/>
        <v>-64605</v>
      </c>
      <c r="Q47" s="95">
        <f t="shared" si="6"/>
        <v>-23426</v>
      </c>
      <c r="R47" s="95">
        <f t="shared" si="6"/>
        <v>-409844</v>
      </c>
      <c r="S47" s="86">
        <f t="shared" si="1"/>
        <v>-6210497</v>
      </c>
      <c r="T47" s="72"/>
    </row>
    <row r="48" spans="2:20" ht="19.5" customHeight="1">
      <c r="B48" s="102" t="s">
        <v>86</v>
      </c>
      <c r="C48" s="103"/>
      <c r="D48" s="103"/>
      <c r="E48" s="103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>
        <f t="shared" si="1"/>
        <v>0</v>
      </c>
      <c r="T48" s="72"/>
    </row>
    <row r="49" spans="2:20" ht="19.5" customHeight="1">
      <c r="B49" s="104" t="s">
        <v>279</v>
      </c>
      <c r="C49" s="105"/>
      <c r="D49" s="105"/>
      <c r="E49" s="105"/>
      <c r="F49" s="106">
        <v>-1314103</v>
      </c>
      <c r="G49" s="107">
        <v>-3744897</v>
      </c>
      <c r="H49" s="107">
        <v>-7065522</v>
      </c>
      <c r="I49" s="107">
        <v>0</v>
      </c>
      <c r="J49" s="107">
        <v>-9636607</v>
      </c>
      <c r="K49" s="107">
        <v>-4813077</v>
      </c>
      <c r="L49" s="107">
        <v>-291710</v>
      </c>
      <c r="M49" s="107">
        <v>-606551</v>
      </c>
      <c r="N49" s="107">
        <v>-3310272</v>
      </c>
      <c r="O49" s="107">
        <v>-91175</v>
      </c>
      <c r="P49" s="107">
        <v>38544</v>
      </c>
      <c r="Q49" s="107">
        <v>-1012755</v>
      </c>
      <c r="R49" s="107">
        <v>-444230</v>
      </c>
      <c r="S49" s="108">
        <f t="shared" si="1"/>
        <v>-32292355</v>
      </c>
      <c r="T49" s="72"/>
    </row>
    <row r="50" spans="2:20" ht="19.5" customHeight="1">
      <c r="B50" s="510" t="s">
        <v>466</v>
      </c>
      <c r="C50" s="103"/>
      <c r="D50" s="103"/>
      <c r="E50" s="103"/>
      <c r="F50" s="98"/>
      <c r="G50" s="99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0">
        <f>SUM(F50:R50)</f>
        <v>0</v>
      </c>
      <c r="T50" s="72"/>
    </row>
    <row r="51" spans="2:20" ht="19.5" customHeight="1">
      <c r="B51" s="511" t="s">
        <v>467</v>
      </c>
      <c r="C51" s="507"/>
      <c r="D51" s="507"/>
      <c r="E51" s="507"/>
      <c r="F51" s="508">
        <v>692215</v>
      </c>
      <c r="G51" s="509">
        <v>3651135</v>
      </c>
      <c r="H51" s="512">
        <v>2403277</v>
      </c>
      <c r="I51" s="512">
        <v>0</v>
      </c>
      <c r="J51" s="512">
        <v>1194772</v>
      </c>
      <c r="K51" s="512">
        <v>2131145</v>
      </c>
      <c r="L51" s="512">
        <v>4226</v>
      </c>
      <c r="M51" s="512"/>
      <c r="N51" s="512">
        <v>2672474</v>
      </c>
      <c r="O51" s="512">
        <v>177832</v>
      </c>
      <c r="P51" s="512"/>
      <c r="Q51" s="512">
        <v>149592</v>
      </c>
      <c r="R51" s="512">
        <v>2390589</v>
      </c>
      <c r="S51" s="513">
        <f>SUM(F51:R51)</f>
        <v>15467257</v>
      </c>
      <c r="T51" s="72"/>
    </row>
    <row r="52" spans="2:20" ht="19.5" customHeight="1">
      <c r="B52" s="514" t="s">
        <v>468</v>
      </c>
      <c r="C52" s="515"/>
      <c r="D52" s="515"/>
      <c r="E52" s="515"/>
      <c r="F52" s="516"/>
      <c r="G52" s="517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9">
        <f t="shared" si="1"/>
        <v>0</v>
      </c>
      <c r="T52" s="72"/>
    </row>
    <row r="53" spans="2:20" ht="19.5" customHeight="1" thickBot="1">
      <c r="B53" s="109" t="s">
        <v>87</v>
      </c>
      <c r="C53" s="110"/>
      <c r="D53" s="110"/>
      <c r="E53" s="110"/>
      <c r="F53" s="111">
        <f>F46+F47+F49+F51</f>
        <v>-2736638</v>
      </c>
      <c r="G53" s="112">
        <f aca="true" t="shared" si="7" ref="G53:R53">G46+G47+G49+G51</f>
        <v>-2108231</v>
      </c>
      <c r="H53" s="113">
        <f t="shared" si="7"/>
        <v>-4378429</v>
      </c>
      <c r="I53" s="113">
        <f t="shared" si="7"/>
        <v>0</v>
      </c>
      <c r="J53" s="113">
        <f t="shared" si="7"/>
        <v>-9321639</v>
      </c>
      <c r="K53" s="113">
        <f t="shared" si="7"/>
        <v>-2774458</v>
      </c>
      <c r="L53" s="113">
        <f t="shared" si="7"/>
        <v>-466796</v>
      </c>
      <c r="M53" s="113">
        <f t="shared" si="7"/>
        <v>-780107</v>
      </c>
      <c r="N53" s="113">
        <f t="shared" si="7"/>
        <v>-777557</v>
      </c>
      <c r="O53" s="113">
        <f t="shared" si="7"/>
        <v>-31789</v>
      </c>
      <c r="P53" s="113">
        <f t="shared" si="7"/>
        <v>-26061</v>
      </c>
      <c r="Q53" s="113">
        <f t="shared" si="7"/>
        <v>-886589</v>
      </c>
      <c r="R53" s="113">
        <f t="shared" si="7"/>
        <v>1536515</v>
      </c>
      <c r="S53" s="114">
        <f t="shared" si="1"/>
        <v>-22751779</v>
      </c>
      <c r="T53" s="72"/>
    </row>
    <row r="54" ht="22.5" customHeight="1"/>
    <row r="55" spans="6:19" ht="17.25"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</sheetData>
  <sheetProtection/>
  <mergeCells count="1">
    <mergeCell ref="I5:I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55" zoomScaleNormal="65" zoomScaleSheetLayoutView="55" zoomScalePageLayoutView="0" workbookViewId="0" topLeftCell="A1">
      <pane xSplit="4" ySplit="8" topLeftCell="E21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Q40" sqref="Q40"/>
    </sheetView>
  </sheetViews>
  <sheetFormatPr defaultColWidth="8.66015625" defaultRowHeight="18"/>
  <cols>
    <col min="1" max="1" width="1.66015625" style="118" customWidth="1"/>
    <col min="2" max="3" width="4.66015625" style="118" customWidth="1"/>
    <col min="4" max="4" width="20.66015625" style="118" customWidth="1"/>
    <col min="5" max="17" width="13.16015625" style="118" customWidth="1"/>
    <col min="18" max="18" width="13.66015625" style="118" customWidth="1"/>
    <col min="19" max="19" width="1.66015625" style="118" customWidth="1"/>
    <col min="20" max="20" width="2.66015625" style="118" customWidth="1"/>
    <col min="21" max="16384" width="8.66015625" style="118" customWidth="1"/>
  </cols>
  <sheetData>
    <row r="1" ht="22.5" customHeight="1">
      <c r="B1" s="119" t="s">
        <v>469</v>
      </c>
    </row>
    <row r="2" ht="22.5" customHeight="1"/>
    <row r="3" spans="2:18" ht="22.5" customHeight="1" thickBot="1">
      <c r="B3" s="120" t="s">
        <v>88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1" t="s">
        <v>55</v>
      </c>
    </row>
    <row r="4" spans="2:19" ht="22.5" customHeight="1">
      <c r="B4" s="122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74"/>
      <c r="S4" s="122"/>
    </row>
    <row r="5" spans="2:19" ht="22.5" customHeight="1">
      <c r="B5" s="122"/>
      <c r="D5" s="118" t="s">
        <v>89</v>
      </c>
      <c r="E5" s="75" t="s">
        <v>2</v>
      </c>
      <c r="F5" s="76" t="s">
        <v>3</v>
      </c>
      <c r="G5" s="76" t="s">
        <v>4</v>
      </c>
      <c r="H5" s="37" t="s">
        <v>5</v>
      </c>
      <c r="I5" s="76" t="s">
        <v>6</v>
      </c>
      <c r="J5" s="76" t="s">
        <v>7</v>
      </c>
      <c r="K5" s="76" t="s">
        <v>8</v>
      </c>
      <c r="L5" s="76" t="s">
        <v>222</v>
      </c>
      <c r="M5" s="76" t="s">
        <v>223</v>
      </c>
      <c r="N5" s="76" t="s">
        <v>224</v>
      </c>
      <c r="O5" s="76" t="s">
        <v>9</v>
      </c>
      <c r="P5" s="76" t="s">
        <v>225</v>
      </c>
      <c r="Q5" s="76" t="s">
        <v>10</v>
      </c>
      <c r="R5" s="74"/>
      <c r="S5" s="122"/>
    </row>
    <row r="6" spans="2:19" ht="22.5" customHeight="1">
      <c r="B6" s="122"/>
      <c r="E6" s="73"/>
      <c r="F6" s="74"/>
      <c r="G6" s="74"/>
      <c r="H6" s="534" t="s">
        <v>458</v>
      </c>
      <c r="I6" s="74"/>
      <c r="J6" s="74"/>
      <c r="K6" s="74"/>
      <c r="L6" s="74"/>
      <c r="M6" s="74"/>
      <c r="N6" s="74"/>
      <c r="O6" s="74"/>
      <c r="P6" s="74"/>
      <c r="Q6" s="74"/>
      <c r="R6" s="76" t="s">
        <v>11</v>
      </c>
      <c r="S6" s="122"/>
    </row>
    <row r="7" spans="2:19" ht="22.5" customHeight="1">
      <c r="B7" s="122" t="s">
        <v>90</v>
      </c>
      <c r="E7" s="73" t="s">
        <v>333</v>
      </c>
      <c r="F7" s="74" t="s">
        <v>333</v>
      </c>
      <c r="G7" s="74"/>
      <c r="H7" s="534"/>
      <c r="I7" s="74"/>
      <c r="J7" s="74"/>
      <c r="K7" s="74" t="s">
        <v>333</v>
      </c>
      <c r="L7" s="77" t="s">
        <v>334</v>
      </c>
      <c r="M7" s="74" t="s">
        <v>335</v>
      </c>
      <c r="N7" s="74" t="s">
        <v>13</v>
      </c>
      <c r="O7" s="74" t="s">
        <v>13</v>
      </c>
      <c r="P7" s="74" t="s">
        <v>336</v>
      </c>
      <c r="Q7" s="74"/>
      <c r="R7" s="74"/>
      <c r="S7" s="122"/>
    </row>
    <row r="8" spans="2:19" ht="22.5" customHeight="1" thickBot="1">
      <c r="B8" s="123"/>
      <c r="C8" s="120"/>
      <c r="D8" s="120"/>
      <c r="E8" s="117" t="s">
        <v>337</v>
      </c>
      <c r="F8" s="81" t="s">
        <v>338</v>
      </c>
      <c r="G8" s="81" t="s">
        <v>14</v>
      </c>
      <c r="H8" s="432" t="s">
        <v>446</v>
      </c>
      <c r="I8" s="81" t="s">
        <v>297</v>
      </c>
      <c r="J8" s="81" t="s">
        <v>15</v>
      </c>
      <c r="K8" s="81" t="s">
        <v>16</v>
      </c>
      <c r="L8" s="81" t="s">
        <v>296</v>
      </c>
      <c r="M8" s="81" t="s">
        <v>315</v>
      </c>
      <c r="N8" s="81" t="s">
        <v>58</v>
      </c>
      <c r="O8" s="81" t="s">
        <v>59</v>
      </c>
      <c r="P8" s="81" t="s">
        <v>228</v>
      </c>
      <c r="Q8" s="81" t="s">
        <v>17</v>
      </c>
      <c r="R8" s="80"/>
      <c r="S8" s="122"/>
    </row>
    <row r="9" spans="2:19" ht="22.5" customHeight="1">
      <c r="B9" s="124" t="s">
        <v>91</v>
      </c>
      <c r="C9" s="125" t="s">
        <v>92</v>
      </c>
      <c r="D9" s="126"/>
      <c r="E9" s="127">
        <v>3339142</v>
      </c>
      <c r="F9" s="128">
        <v>1382061</v>
      </c>
      <c r="G9" s="128">
        <v>1553022</v>
      </c>
      <c r="H9" s="128">
        <v>0</v>
      </c>
      <c r="I9" s="128">
        <v>912780</v>
      </c>
      <c r="J9" s="128">
        <v>890766</v>
      </c>
      <c r="K9" s="128">
        <v>325927</v>
      </c>
      <c r="L9" s="128">
        <v>339307</v>
      </c>
      <c r="M9" s="128">
        <v>781458</v>
      </c>
      <c r="N9" s="128">
        <v>140077</v>
      </c>
      <c r="O9" s="128">
        <v>116930</v>
      </c>
      <c r="P9" s="128">
        <v>184967</v>
      </c>
      <c r="Q9" s="128">
        <v>905227</v>
      </c>
      <c r="R9" s="129">
        <f>SUM(E9:Q9)</f>
        <v>10871664</v>
      </c>
      <c r="S9" s="122"/>
    </row>
    <row r="10" spans="2:19" ht="22.5" customHeight="1">
      <c r="B10" s="124" t="s">
        <v>47</v>
      </c>
      <c r="C10" s="125" t="s">
        <v>93</v>
      </c>
      <c r="D10" s="126"/>
      <c r="E10" s="130">
        <v>3095962</v>
      </c>
      <c r="F10" s="131">
        <v>1068558</v>
      </c>
      <c r="G10" s="131">
        <v>1149063</v>
      </c>
      <c r="H10" s="131">
        <v>0</v>
      </c>
      <c r="I10" s="131">
        <v>926640</v>
      </c>
      <c r="J10" s="131">
        <v>659250</v>
      </c>
      <c r="K10" s="131">
        <v>227206</v>
      </c>
      <c r="L10" s="131">
        <v>200595</v>
      </c>
      <c r="M10" s="131">
        <v>548179</v>
      </c>
      <c r="N10" s="131">
        <v>103662</v>
      </c>
      <c r="O10" s="131">
        <v>93853</v>
      </c>
      <c r="P10" s="131">
        <v>112751</v>
      </c>
      <c r="Q10" s="131">
        <v>741170</v>
      </c>
      <c r="R10" s="129">
        <f aca="true" t="shared" si="0" ref="R10:R49">SUM(E10:Q10)</f>
        <v>8926889</v>
      </c>
      <c r="S10" s="122"/>
    </row>
    <row r="11" spans="2:19" ht="22.5" customHeight="1">
      <c r="B11" s="124" t="s">
        <v>49</v>
      </c>
      <c r="C11" s="125" t="s">
        <v>94</v>
      </c>
      <c r="D11" s="126"/>
      <c r="E11" s="130">
        <v>164457</v>
      </c>
      <c r="F11" s="131">
        <v>552945</v>
      </c>
      <c r="G11" s="131">
        <v>637832</v>
      </c>
      <c r="H11" s="131">
        <v>0</v>
      </c>
      <c r="I11" s="131">
        <v>314071</v>
      </c>
      <c r="J11" s="131">
        <v>306094</v>
      </c>
      <c r="K11" s="131">
        <v>135401</v>
      </c>
      <c r="L11" s="131">
        <v>129271</v>
      </c>
      <c r="M11" s="131">
        <v>393550</v>
      </c>
      <c r="N11" s="131">
        <v>37002</v>
      </c>
      <c r="O11" s="131">
        <v>116772</v>
      </c>
      <c r="P11" s="131">
        <v>110996</v>
      </c>
      <c r="Q11" s="131">
        <v>108728</v>
      </c>
      <c r="R11" s="129">
        <f t="shared" si="0"/>
        <v>3007119</v>
      </c>
      <c r="S11" s="122"/>
    </row>
    <row r="12" spans="2:19" ht="22.5" customHeight="1">
      <c r="B12" s="124" t="s">
        <v>95</v>
      </c>
      <c r="C12" s="529" t="s">
        <v>521</v>
      </c>
      <c r="D12" s="126"/>
      <c r="E12" s="130">
        <v>346778</v>
      </c>
      <c r="F12" s="131"/>
      <c r="G12" s="131">
        <v>61091</v>
      </c>
      <c r="H12" s="131">
        <v>0</v>
      </c>
      <c r="I12" s="131">
        <v>36097</v>
      </c>
      <c r="J12" s="131">
        <v>125384</v>
      </c>
      <c r="K12" s="131">
        <v>19420</v>
      </c>
      <c r="L12" s="131">
        <v>0</v>
      </c>
      <c r="M12" s="131">
        <v>58205</v>
      </c>
      <c r="N12" s="131">
        <v>0</v>
      </c>
      <c r="O12" s="131">
        <v>0</v>
      </c>
      <c r="P12" s="131">
        <v>0</v>
      </c>
      <c r="Q12" s="131">
        <v>5434</v>
      </c>
      <c r="R12" s="129">
        <f t="shared" si="0"/>
        <v>652409</v>
      </c>
      <c r="S12" s="122"/>
    </row>
    <row r="13" spans="2:19" ht="22.5" customHeight="1">
      <c r="B13" s="124" t="s">
        <v>96</v>
      </c>
      <c r="C13" s="125" t="s">
        <v>97</v>
      </c>
      <c r="D13" s="126"/>
      <c r="E13" s="130">
        <v>998586</v>
      </c>
      <c r="F13" s="131">
        <v>488443</v>
      </c>
      <c r="G13" s="131">
        <v>550254</v>
      </c>
      <c r="H13" s="131">
        <v>0</v>
      </c>
      <c r="I13" s="131">
        <v>300314</v>
      </c>
      <c r="J13" s="131">
        <v>293078</v>
      </c>
      <c r="K13" s="131">
        <v>94324</v>
      </c>
      <c r="L13" s="131">
        <v>177552</v>
      </c>
      <c r="M13" s="131">
        <v>252368</v>
      </c>
      <c r="N13" s="131">
        <v>48155</v>
      </c>
      <c r="O13" s="131">
        <v>51165</v>
      </c>
      <c r="P13" s="131">
        <v>67726</v>
      </c>
      <c r="Q13" s="131">
        <v>309249</v>
      </c>
      <c r="R13" s="129">
        <f t="shared" si="0"/>
        <v>3631214</v>
      </c>
      <c r="S13" s="122"/>
    </row>
    <row r="14" spans="2:19" ht="22.5" customHeight="1">
      <c r="B14" s="132" t="s">
        <v>98</v>
      </c>
      <c r="C14" s="133" t="s">
        <v>99</v>
      </c>
      <c r="D14" s="134"/>
      <c r="E14" s="135">
        <f>SUM(E9:E13)</f>
        <v>7944925</v>
      </c>
      <c r="F14" s="136">
        <f aca="true" t="shared" si="1" ref="F14:Q14">SUM(F9:F13)</f>
        <v>3492007</v>
      </c>
      <c r="G14" s="136">
        <f t="shared" si="1"/>
        <v>3951262</v>
      </c>
      <c r="H14" s="136">
        <f t="shared" si="1"/>
        <v>0</v>
      </c>
      <c r="I14" s="136">
        <f t="shared" si="1"/>
        <v>2489902</v>
      </c>
      <c r="J14" s="136">
        <f t="shared" si="1"/>
        <v>2274572</v>
      </c>
      <c r="K14" s="136">
        <f t="shared" si="1"/>
        <v>802278</v>
      </c>
      <c r="L14" s="136">
        <f t="shared" si="1"/>
        <v>846725</v>
      </c>
      <c r="M14" s="136">
        <f t="shared" si="1"/>
        <v>2033760</v>
      </c>
      <c r="N14" s="136">
        <f t="shared" si="1"/>
        <v>328896</v>
      </c>
      <c r="O14" s="136">
        <f t="shared" si="1"/>
        <v>378720</v>
      </c>
      <c r="P14" s="136">
        <f t="shared" si="1"/>
        <v>476440</v>
      </c>
      <c r="Q14" s="136">
        <f t="shared" si="1"/>
        <v>2069808</v>
      </c>
      <c r="R14" s="137">
        <f t="shared" si="0"/>
        <v>27089295</v>
      </c>
      <c r="S14" s="122"/>
    </row>
    <row r="15" spans="2:19" ht="22.5" customHeight="1">
      <c r="B15" s="138" t="s">
        <v>280</v>
      </c>
      <c r="C15" s="134"/>
      <c r="D15" s="134"/>
      <c r="E15" s="135">
        <v>130128</v>
      </c>
      <c r="F15" s="136">
        <v>12785</v>
      </c>
      <c r="G15" s="136">
        <v>214820</v>
      </c>
      <c r="H15" s="136">
        <v>1129</v>
      </c>
      <c r="I15" s="136">
        <v>203153</v>
      </c>
      <c r="J15" s="136">
        <v>92481</v>
      </c>
      <c r="K15" s="136">
        <v>22516</v>
      </c>
      <c r="L15" s="136">
        <v>27214</v>
      </c>
      <c r="M15" s="136">
        <v>32814</v>
      </c>
      <c r="N15" s="136">
        <v>2559</v>
      </c>
      <c r="O15" s="136">
        <v>13320</v>
      </c>
      <c r="P15" s="136">
        <v>4502</v>
      </c>
      <c r="Q15" s="136">
        <v>45057</v>
      </c>
      <c r="R15" s="137">
        <f t="shared" si="0"/>
        <v>802478</v>
      </c>
      <c r="S15" s="122"/>
    </row>
    <row r="16" spans="2:19" ht="22.5" customHeight="1">
      <c r="B16" s="122"/>
      <c r="C16" s="144" t="s">
        <v>447</v>
      </c>
      <c r="D16" s="126"/>
      <c r="E16" s="130">
        <v>130128</v>
      </c>
      <c r="F16" s="131">
        <v>12343</v>
      </c>
      <c r="G16" s="131">
        <v>214820</v>
      </c>
      <c r="H16" s="131">
        <v>1129</v>
      </c>
      <c r="I16" s="131">
        <v>197326</v>
      </c>
      <c r="J16" s="131">
        <v>92110</v>
      </c>
      <c r="K16" s="131">
        <v>22516</v>
      </c>
      <c r="L16" s="131">
        <v>27137</v>
      </c>
      <c r="M16" s="131">
        <v>30314</v>
      </c>
      <c r="N16" s="131">
        <v>2559</v>
      </c>
      <c r="O16" s="131">
        <v>13320</v>
      </c>
      <c r="P16" s="131">
        <v>4502</v>
      </c>
      <c r="Q16" s="131">
        <v>45057</v>
      </c>
      <c r="R16" s="129">
        <f t="shared" si="0"/>
        <v>793261</v>
      </c>
      <c r="S16" s="122"/>
    </row>
    <row r="17" spans="2:19" ht="22.5" customHeight="1">
      <c r="B17" s="122"/>
      <c r="C17" s="144" t="s">
        <v>448</v>
      </c>
      <c r="D17" s="126"/>
      <c r="E17" s="130">
        <v>0</v>
      </c>
      <c r="F17" s="131">
        <v>102</v>
      </c>
      <c r="G17" s="131">
        <v>0</v>
      </c>
      <c r="H17" s="131">
        <v>0</v>
      </c>
      <c r="I17" s="131">
        <v>1795</v>
      </c>
      <c r="J17" s="131">
        <v>371</v>
      </c>
      <c r="K17" s="131">
        <v>0</v>
      </c>
      <c r="L17" s="131">
        <v>77</v>
      </c>
      <c r="M17" s="131">
        <v>100</v>
      </c>
      <c r="N17" s="131">
        <v>0</v>
      </c>
      <c r="O17" s="131">
        <v>0</v>
      </c>
      <c r="P17" s="131">
        <v>0</v>
      </c>
      <c r="Q17" s="131">
        <v>0</v>
      </c>
      <c r="R17" s="129">
        <f t="shared" si="0"/>
        <v>2445</v>
      </c>
      <c r="S17" s="122"/>
    </row>
    <row r="18" spans="2:19" ht="22.5" customHeight="1">
      <c r="B18" s="139"/>
      <c r="C18" s="133" t="s">
        <v>100</v>
      </c>
      <c r="D18" s="134"/>
      <c r="E18" s="135">
        <v>0</v>
      </c>
      <c r="F18" s="136">
        <v>340</v>
      </c>
      <c r="G18" s="136">
        <v>0</v>
      </c>
      <c r="H18" s="136">
        <v>0</v>
      </c>
      <c r="I18" s="136">
        <v>4032</v>
      </c>
      <c r="J18" s="136">
        <v>0</v>
      </c>
      <c r="K18" s="136">
        <v>0</v>
      </c>
      <c r="L18" s="136">
        <v>0</v>
      </c>
      <c r="M18" s="136">
        <v>2400</v>
      </c>
      <c r="N18" s="136">
        <v>0</v>
      </c>
      <c r="O18" s="136">
        <v>0</v>
      </c>
      <c r="P18" s="136">
        <v>0</v>
      </c>
      <c r="Q18" s="136">
        <v>0</v>
      </c>
      <c r="R18" s="137">
        <f t="shared" si="0"/>
        <v>6772</v>
      </c>
      <c r="S18" s="122"/>
    </row>
    <row r="19" spans="2:19" ht="22.5" customHeight="1">
      <c r="B19" s="140" t="s">
        <v>281</v>
      </c>
      <c r="C19" s="134"/>
      <c r="D19" s="134"/>
      <c r="E19" s="135">
        <v>1263906</v>
      </c>
      <c r="F19" s="136">
        <v>245644</v>
      </c>
      <c r="G19" s="136">
        <v>512585</v>
      </c>
      <c r="H19" s="136">
        <v>0</v>
      </c>
      <c r="I19" s="136">
        <v>262754</v>
      </c>
      <c r="J19" s="136">
        <v>252899</v>
      </c>
      <c r="K19" s="136">
        <v>131422</v>
      </c>
      <c r="L19" s="136">
        <v>113798</v>
      </c>
      <c r="M19" s="136">
        <v>334335</v>
      </c>
      <c r="N19" s="136">
        <v>27992</v>
      </c>
      <c r="O19" s="136">
        <v>40919</v>
      </c>
      <c r="P19" s="136">
        <v>49838</v>
      </c>
      <c r="Q19" s="136">
        <v>248780</v>
      </c>
      <c r="R19" s="137">
        <f t="shared" si="0"/>
        <v>3484872</v>
      </c>
      <c r="S19" s="122"/>
    </row>
    <row r="20" spans="2:19" ht="22.5" customHeight="1">
      <c r="B20" s="139" t="s">
        <v>101</v>
      </c>
      <c r="C20" s="134"/>
      <c r="D20" s="134"/>
      <c r="E20" s="135">
        <v>453724</v>
      </c>
      <c r="F20" s="136">
        <v>95398</v>
      </c>
      <c r="G20" s="136">
        <v>137771</v>
      </c>
      <c r="H20" s="136">
        <v>0</v>
      </c>
      <c r="I20" s="136">
        <v>164222</v>
      </c>
      <c r="J20" s="136">
        <v>83940</v>
      </c>
      <c r="K20" s="136">
        <v>37813</v>
      </c>
      <c r="L20" s="136">
        <v>22274</v>
      </c>
      <c r="M20" s="136">
        <v>86891</v>
      </c>
      <c r="N20" s="136">
        <v>5163</v>
      </c>
      <c r="O20" s="136">
        <v>14623</v>
      </c>
      <c r="P20" s="136">
        <v>11966</v>
      </c>
      <c r="Q20" s="136">
        <v>68590</v>
      </c>
      <c r="R20" s="137">
        <f t="shared" si="0"/>
        <v>1182375</v>
      </c>
      <c r="S20" s="122"/>
    </row>
    <row r="21" spans="2:19" ht="22.5" customHeight="1">
      <c r="B21" s="139" t="s">
        <v>102</v>
      </c>
      <c r="C21" s="134"/>
      <c r="D21" s="134"/>
      <c r="E21" s="135">
        <v>13274</v>
      </c>
      <c r="F21" s="136">
        <v>8007</v>
      </c>
      <c r="G21" s="136">
        <v>9015</v>
      </c>
      <c r="H21" s="136">
        <v>0</v>
      </c>
      <c r="I21" s="136">
        <v>5320</v>
      </c>
      <c r="J21" s="136">
        <v>5102</v>
      </c>
      <c r="K21" s="136">
        <v>1736</v>
      </c>
      <c r="L21" s="136">
        <v>3691</v>
      </c>
      <c r="M21" s="136">
        <v>6763</v>
      </c>
      <c r="N21" s="136">
        <v>660</v>
      </c>
      <c r="O21" s="136">
        <v>981</v>
      </c>
      <c r="P21" s="136">
        <v>2601</v>
      </c>
      <c r="Q21" s="136">
        <v>5785</v>
      </c>
      <c r="R21" s="137">
        <f t="shared" si="0"/>
        <v>62935</v>
      </c>
      <c r="S21" s="122"/>
    </row>
    <row r="22" spans="2:19" ht="22.5" customHeight="1">
      <c r="B22" s="139" t="s">
        <v>103</v>
      </c>
      <c r="C22" s="134"/>
      <c r="D22" s="134"/>
      <c r="E22" s="135">
        <v>97370</v>
      </c>
      <c r="F22" s="136">
        <v>55574</v>
      </c>
      <c r="G22" s="136">
        <v>99965</v>
      </c>
      <c r="H22" s="136">
        <v>0</v>
      </c>
      <c r="I22" s="136">
        <v>49355</v>
      </c>
      <c r="J22" s="136">
        <v>67156</v>
      </c>
      <c r="K22" s="136">
        <v>13677</v>
      </c>
      <c r="L22" s="136">
        <v>8732</v>
      </c>
      <c r="M22" s="136">
        <v>52143</v>
      </c>
      <c r="N22" s="136">
        <v>1264</v>
      </c>
      <c r="O22" s="136">
        <v>3600</v>
      </c>
      <c r="P22" s="136">
        <v>2825</v>
      </c>
      <c r="Q22" s="136">
        <v>32003</v>
      </c>
      <c r="R22" s="137">
        <f t="shared" si="0"/>
        <v>483664</v>
      </c>
      <c r="S22" s="122"/>
    </row>
    <row r="23" spans="2:19" ht="22.5" customHeight="1">
      <c r="B23" s="140" t="s">
        <v>282</v>
      </c>
      <c r="C23" s="134"/>
      <c r="D23" s="134"/>
      <c r="E23" s="135">
        <v>1669229</v>
      </c>
      <c r="F23" s="136">
        <v>537944</v>
      </c>
      <c r="G23" s="136">
        <v>568993</v>
      </c>
      <c r="H23" s="136">
        <v>0</v>
      </c>
      <c r="I23" s="136">
        <v>485569</v>
      </c>
      <c r="J23" s="136">
        <v>297934</v>
      </c>
      <c r="K23" s="136">
        <v>216820</v>
      </c>
      <c r="L23" s="136">
        <v>103188</v>
      </c>
      <c r="M23" s="136">
        <v>270655</v>
      </c>
      <c r="N23" s="136">
        <v>13667</v>
      </c>
      <c r="O23" s="136">
        <v>108526</v>
      </c>
      <c r="P23" s="136">
        <v>96952</v>
      </c>
      <c r="Q23" s="136">
        <v>209796</v>
      </c>
      <c r="R23" s="137">
        <f t="shared" si="0"/>
        <v>4579273</v>
      </c>
      <c r="S23" s="122"/>
    </row>
    <row r="24" spans="2:19" ht="22.5" customHeight="1">
      <c r="B24" s="122" t="s">
        <v>104</v>
      </c>
      <c r="C24" s="141" t="s">
        <v>105</v>
      </c>
      <c r="D24" s="125" t="s">
        <v>106</v>
      </c>
      <c r="E24" s="130">
        <v>1011504</v>
      </c>
      <c r="F24" s="131">
        <v>141731</v>
      </c>
      <c r="G24" s="131">
        <v>536666</v>
      </c>
      <c r="H24" s="131">
        <v>0</v>
      </c>
      <c r="I24" s="131">
        <v>46071</v>
      </c>
      <c r="J24" s="131">
        <v>136111</v>
      </c>
      <c r="K24" s="131">
        <v>156208</v>
      </c>
      <c r="L24" s="131">
        <v>15077</v>
      </c>
      <c r="M24" s="131">
        <v>35346</v>
      </c>
      <c r="N24" s="131">
        <v>14205</v>
      </c>
      <c r="O24" s="131">
        <v>5207</v>
      </c>
      <c r="P24" s="131">
        <v>20145</v>
      </c>
      <c r="Q24" s="131">
        <v>56107</v>
      </c>
      <c r="R24" s="129">
        <f t="shared" si="0"/>
        <v>2174378</v>
      </c>
      <c r="S24" s="122"/>
    </row>
    <row r="25" spans="2:19" ht="22.5" customHeight="1">
      <c r="B25" s="122" t="s">
        <v>107</v>
      </c>
      <c r="C25" s="142" t="s">
        <v>330</v>
      </c>
      <c r="D25" s="125" t="s">
        <v>108</v>
      </c>
      <c r="E25" s="130">
        <v>1941350</v>
      </c>
      <c r="F25" s="131">
        <v>380360</v>
      </c>
      <c r="G25" s="131">
        <v>973368</v>
      </c>
      <c r="H25" s="131">
        <v>0</v>
      </c>
      <c r="I25" s="131">
        <v>185877</v>
      </c>
      <c r="J25" s="131">
        <v>387591</v>
      </c>
      <c r="K25" s="131">
        <v>35699</v>
      </c>
      <c r="L25" s="131">
        <v>54669</v>
      </c>
      <c r="M25" s="131">
        <v>241555</v>
      </c>
      <c r="N25" s="131">
        <v>16272</v>
      </c>
      <c r="O25" s="131">
        <v>14994</v>
      </c>
      <c r="P25" s="131">
        <v>12666</v>
      </c>
      <c r="Q25" s="131">
        <v>196308</v>
      </c>
      <c r="R25" s="129">
        <f t="shared" si="0"/>
        <v>4440709</v>
      </c>
      <c r="S25" s="122"/>
    </row>
    <row r="26" spans="2:19" ht="22.5" customHeight="1">
      <c r="B26" s="143" t="s">
        <v>109</v>
      </c>
      <c r="C26" s="144" t="s">
        <v>327</v>
      </c>
      <c r="D26" s="125" t="s">
        <v>110</v>
      </c>
      <c r="E26" s="130">
        <v>2952854</v>
      </c>
      <c r="F26" s="131">
        <v>522091</v>
      </c>
      <c r="G26" s="131">
        <v>1510034</v>
      </c>
      <c r="H26" s="131">
        <v>0</v>
      </c>
      <c r="I26" s="131">
        <v>231948</v>
      </c>
      <c r="J26" s="131">
        <v>523702</v>
      </c>
      <c r="K26" s="131">
        <v>191907</v>
      </c>
      <c r="L26" s="131">
        <v>69746</v>
      </c>
      <c r="M26" s="131">
        <v>276901</v>
      </c>
      <c r="N26" s="131">
        <v>30477</v>
      </c>
      <c r="O26" s="131">
        <v>20201</v>
      </c>
      <c r="P26" s="131">
        <v>32811</v>
      </c>
      <c r="Q26" s="131">
        <v>252415</v>
      </c>
      <c r="R26" s="129">
        <f t="shared" si="0"/>
        <v>6615087</v>
      </c>
      <c r="S26" s="122"/>
    </row>
    <row r="27" spans="2:19" ht="22.5" customHeight="1">
      <c r="B27" s="145" t="s">
        <v>328</v>
      </c>
      <c r="C27" s="125" t="s">
        <v>111</v>
      </c>
      <c r="D27" s="126"/>
      <c r="E27" s="130">
        <v>2510038</v>
      </c>
      <c r="F27" s="131">
        <v>446952</v>
      </c>
      <c r="G27" s="131">
        <v>813275</v>
      </c>
      <c r="H27" s="131">
        <v>0</v>
      </c>
      <c r="I27" s="131">
        <v>639072</v>
      </c>
      <c r="J27" s="131">
        <v>397558</v>
      </c>
      <c r="K27" s="131">
        <v>101700</v>
      </c>
      <c r="L27" s="131">
        <v>49941</v>
      </c>
      <c r="M27" s="131">
        <v>335232</v>
      </c>
      <c r="N27" s="131">
        <v>10471</v>
      </c>
      <c r="O27" s="131">
        <v>26058</v>
      </c>
      <c r="P27" s="131">
        <v>30294</v>
      </c>
      <c r="Q27" s="131">
        <v>287304</v>
      </c>
      <c r="R27" s="129">
        <f t="shared" si="0"/>
        <v>5647895</v>
      </c>
      <c r="S27" s="122"/>
    </row>
    <row r="28" spans="2:19" ht="22.5" customHeight="1">
      <c r="B28" s="146" t="s">
        <v>329</v>
      </c>
      <c r="C28" s="133" t="s">
        <v>112</v>
      </c>
      <c r="D28" s="134"/>
      <c r="E28" s="135">
        <v>5462892</v>
      </c>
      <c r="F28" s="136">
        <v>969043</v>
      </c>
      <c r="G28" s="136">
        <v>2323309</v>
      </c>
      <c r="H28" s="136">
        <v>0</v>
      </c>
      <c r="I28" s="136">
        <v>871020</v>
      </c>
      <c r="J28" s="136">
        <v>921260</v>
      </c>
      <c r="K28" s="136">
        <v>293607</v>
      </c>
      <c r="L28" s="136">
        <v>119687</v>
      </c>
      <c r="M28" s="136">
        <v>612133</v>
      </c>
      <c r="N28" s="136">
        <v>40948</v>
      </c>
      <c r="O28" s="136">
        <v>46259</v>
      </c>
      <c r="P28" s="136">
        <v>63105</v>
      </c>
      <c r="Q28" s="136">
        <v>539719</v>
      </c>
      <c r="R28" s="137">
        <f t="shared" si="0"/>
        <v>12262982</v>
      </c>
      <c r="S28" s="122"/>
    </row>
    <row r="29" spans="2:19" ht="22.5" customHeight="1">
      <c r="B29" s="140" t="s">
        <v>331</v>
      </c>
      <c r="C29" s="134"/>
      <c r="D29" s="134"/>
      <c r="E29" s="135">
        <v>1177</v>
      </c>
      <c r="F29" s="136">
        <v>2416</v>
      </c>
      <c r="G29" s="136">
        <v>70982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864</v>
      </c>
      <c r="N29" s="136">
        <v>2659</v>
      </c>
      <c r="O29" s="136">
        <v>10723</v>
      </c>
      <c r="P29" s="136">
        <v>0</v>
      </c>
      <c r="Q29" s="136">
        <v>35893</v>
      </c>
      <c r="R29" s="137">
        <f t="shared" si="0"/>
        <v>124714</v>
      </c>
      <c r="S29" s="122"/>
    </row>
    <row r="30" spans="2:19" ht="22.5" customHeight="1">
      <c r="B30" s="139" t="s">
        <v>113</v>
      </c>
      <c r="C30" s="134"/>
      <c r="D30" s="134"/>
      <c r="E30" s="135">
        <v>1698719</v>
      </c>
      <c r="F30" s="136">
        <v>396474</v>
      </c>
      <c r="G30" s="136">
        <v>548556</v>
      </c>
      <c r="H30" s="136">
        <v>0</v>
      </c>
      <c r="I30" s="136">
        <v>687655</v>
      </c>
      <c r="J30" s="136">
        <v>375286</v>
      </c>
      <c r="K30" s="136">
        <v>141412</v>
      </c>
      <c r="L30" s="136">
        <v>59640</v>
      </c>
      <c r="M30" s="136">
        <v>410656</v>
      </c>
      <c r="N30" s="136">
        <v>45056</v>
      </c>
      <c r="O30" s="136">
        <v>47446</v>
      </c>
      <c r="P30" s="136">
        <v>108570</v>
      </c>
      <c r="Q30" s="136">
        <v>1105565</v>
      </c>
      <c r="R30" s="137">
        <f t="shared" si="0"/>
        <v>5625035</v>
      </c>
      <c r="S30" s="122"/>
    </row>
    <row r="31" spans="2:19" ht="22.5" customHeight="1">
      <c r="B31" s="139" t="s">
        <v>114</v>
      </c>
      <c r="C31" s="134"/>
      <c r="D31" s="134"/>
      <c r="E31" s="135">
        <f>SUM(E14,E19,E15,E20,E21,E22,E23,E28,E29,E30)</f>
        <v>18735344</v>
      </c>
      <c r="F31" s="136">
        <f aca="true" t="shared" si="2" ref="F31:Q31">SUM(F14,F19,F15,F20,F21,F22,F23,F28,F29,F30)</f>
        <v>5815292</v>
      </c>
      <c r="G31" s="136">
        <f t="shared" si="2"/>
        <v>8437258</v>
      </c>
      <c r="H31" s="136">
        <f t="shared" si="2"/>
        <v>1129</v>
      </c>
      <c r="I31" s="136">
        <f t="shared" si="2"/>
        <v>5218950</v>
      </c>
      <c r="J31" s="136">
        <f t="shared" si="2"/>
        <v>4370630</v>
      </c>
      <c r="K31" s="136">
        <f t="shared" si="2"/>
        <v>1661281</v>
      </c>
      <c r="L31" s="136">
        <f t="shared" si="2"/>
        <v>1304949</v>
      </c>
      <c r="M31" s="136">
        <f t="shared" si="2"/>
        <v>3841014</v>
      </c>
      <c r="N31" s="136">
        <f t="shared" si="2"/>
        <v>468864</v>
      </c>
      <c r="O31" s="136">
        <f t="shared" si="2"/>
        <v>665117</v>
      </c>
      <c r="P31" s="136">
        <f t="shared" si="2"/>
        <v>816799</v>
      </c>
      <c r="Q31" s="136">
        <f t="shared" si="2"/>
        <v>4360996</v>
      </c>
      <c r="R31" s="137">
        <f t="shared" si="0"/>
        <v>55697623</v>
      </c>
      <c r="S31" s="122"/>
    </row>
    <row r="32" spans="2:19" ht="22.5" customHeight="1">
      <c r="B32" s="122"/>
      <c r="C32" s="147"/>
      <c r="D32" s="125" t="s">
        <v>115</v>
      </c>
      <c r="E32" s="130">
        <v>81546</v>
      </c>
      <c r="F32" s="131">
        <v>22932</v>
      </c>
      <c r="G32" s="131">
        <v>50851</v>
      </c>
      <c r="H32" s="131">
        <v>0</v>
      </c>
      <c r="I32" s="131">
        <v>15659</v>
      </c>
      <c r="J32" s="131">
        <v>41065</v>
      </c>
      <c r="K32" s="131">
        <v>9878</v>
      </c>
      <c r="L32" s="131">
        <v>5152</v>
      </c>
      <c r="M32" s="131">
        <v>34109</v>
      </c>
      <c r="N32" s="131">
        <v>2005</v>
      </c>
      <c r="O32" s="131">
        <v>552</v>
      </c>
      <c r="P32" s="131">
        <v>5659</v>
      </c>
      <c r="Q32" s="131">
        <v>13551</v>
      </c>
      <c r="R32" s="129">
        <f t="shared" si="0"/>
        <v>282959</v>
      </c>
      <c r="S32" s="122"/>
    </row>
    <row r="33" spans="2:19" ht="22.5" customHeight="1">
      <c r="B33" s="122"/>
      <c r="C33" s="141"/>
      <c r="D33" s="125" t="s">
        <v>117</v>
      </c>
      <c r="E33" s="130">
        <v>713342</v>
      </c>
      <c r="F33" s="131">
        <v>61397</v>
      </c>
      <c r="G33" s="131">
        <v>142429</v>
      </c>
      <c r="H33" s="131">
        <v>0</v>
      </c>
      <c r="I33" s="131">
        <v>14949</v>
      </c>
      <c r="J33" s="131">
        <v>121832</v>
      </c>
      <c r="K33" s="131">
        <v>27906</v>
      </c>
      <c r="L33" s="131">
        <v>15454</v>
      </c>
      <c r="M33" s="131">
        <v>119102</v>
      </c>
      <c r="N33" s="131">
        <v>15275</v>
      </c>
      <c r="O33" s="131">
        <v>368</v>
      </c>
      <c r="P33" s="131">
        <v>10266</v>
      </c>
      <c r="Q33" s="131">
        <v>29110</v>
      </c>
      <c r="R33" s="129">
        <f t="shared" si="0"/>
        <v>1271430</v>
      </c>
      <c r="S33" s="122"/>
    </row>
    <row r="34" spans="2:19" ht="22.5" customHeight="1">
      <c r="B34" s="124" t="s">
        <v>119</v>
      </c>
      <c r="C34" s="141" t="s">
        <v>116</v>
      </c>
      <c r="D34" s="125" t="s">
        <v>118</v>
      </c>
      <c r="E34" s="130">
        <v>3746907</v>
      </c>
      <c r="F34" s="131">
        <v>657441</v>
      </c>
      <c r="G34" s="131">
        <v>755065</v>
      </c>
      <c r="H34" s="131">
        <v>0</v>
      </c>
      <c r="I34" s="131">
        <v>772805</v>
      </c>
      <c r="J34" s="131">
        <v>389193</v>
      </c>
      <c r="K34" s="131">
        <v>70893</v>
      </c>
      <c r="L34" s="131">
        <v>49502</v>
      </c>
      <c r="M34" s="131">
        <v>356927</v>
      </c>
      <c r="N34" s="131">
        <v>2815</v>
      </c>
      <c r="O34" s="131">
        <v>12579</v>
      </c>
      <c r="P34" s="131">
        <v>9020</v>
      </c>
      <c r="Q34" s="131">
        <v>234478</v>
      </c>
      <c r="R34" s="129">
        <f t="shared" si="0"/>
        <v>7057625</v>
      </c>
      <c r="S34" s="122"/>
    </row>
    <row r="35" spans="2:19" ht="22.5" customHeight="1">
      <c r="B35" s="124"/>
      <c r="C35" s="147"/>
      <c r="D35" s="125" t="s">
        <v>120</v>
      </c>
      <c r="E35" s="130">
        <v>152428</v>
      </c>
      <c r="F35" s="131">
        <v>24765</v>
      </c>
      <c r="G35" s="131">
        <v>80585</v>
      </c>
      <c r="H35" s="131">
        <v>0</v>
      </c>
      <c r="I35" s="131">
        <v>45722</v>
      </c>
      <c r="J35" s="131">
        <v>104197</v>
      </c>
      <c r="K35" s="131">
        <v>20768</v>
      </c>
      <c r="L35" s="131">
        <v>6297</v>
      </c>
      <c r="M35" s="131">
        <v>87438</v>
      </c>
      <c r="N35" s="131">
        <v>2961</v>
      </c>
      <c r="O35" s="131">
        <v>623</v>
      </c>
      <c r="P35" s="131">
        <v>16830</v>
      </c>
      <c r="Q35" s="131">
        <v>18511</v>
      </c>
      <c r="R35" s="129">
        <f t="shared" si="0"/>
        <v>561125</v>
      </c>
      <c r="S35" s="122"/>
    </row>
    <row r="36" spans="2:19" ht="22.5" customHeight="1">
      <c r="B36" s="122"/>
      <c r="C36" s="147"/>
      <c r="D36" s="125" t="s">
        <v>121</v>
      </c>
      <c r="E36" s="130">
        <v>31210</v>
      </c>
      <c r="F36" s="131">
        <v>8762</v>
      </c>
      <c r="G36" s="131">
        <v>43908</v>
      </c>
      <c r="H36" s="131">
        <v>0</v>
      </c>
      <c r="I36" s="131">
        <v>10119</v>
      </c>
      <c r="J36" s="131">
        <v>70335</v>
      </c>
      <c r="K36" s="131">
        <v>16121</v>
      </c>
      <c r="L36" s="131">
        <v>4934</v>
      </c>
      <c r="M36" s="131">
        <v>69936</v>
      </c>
      <c r="N36" s="131">
        <v>1331</v>
      </c>
      <c r="O36" s="131">
        <v>2900</v>
      </c>
      <c r="P36" s="131">
        <v>9516</v>
      </c>
      <c r="Q36" s="131">
        <v>7413</v>
      </c>
      <c r="R36" s="129">
        <f t="shared" si="0"/>
        <v>276485</v>
      </c>
      <c r="S36" s="122"/>
    </row>
    <row r="37" spans="2:19" ht="22.5" customHeight="1">
      <c r="B37" s="122"/>
      <c r="C37" s="147"/>
      <c r="D37" s="125" t="s">
        <v>122</v>
      </c>
      <c r="E37" s="130">
        <v>6498043</v>
      </c>
      <c r="F37" s="131">
        <v>1954781</v>
      </c>
      <c r="G37" s="131">
        <v>3334090</v>
      </c>
      <c r="H37" s="131">
        <v>0</v>
      </c>
      <c r="I37" s="131">
        <v>1786290</v>
      </c>
      <c r="J37" s="131">
        <v>1182930</v>
      </c>
      <c r="K37" s="131">
        <v>400640</v>
      </c>
      <c r="L37" s="131">
        <v>213930</v>
      </c>
      <c r="M37" s="131">
        <v>769476</v>
      </c>
      <c r="N37" s="131">
        <v>43724</v>
      </c>
      <c r="O37" s="131">
        <v>301816</v>
      </c>
      <c r="P37" s="131">
        <v>195523</v>
      </c>
      <c r="Q37" s="131">
        <v>1525593</v>
      </c>
      <c r="R37" s="129">
        <f t="shared" si="0"/>
        <v>18206836</v>
      </c>
      <c r="S37" s="122"/>
    </row>
    <row r="38" spans="2:19" ht="22.5" customHeight="1">
      <c r="B38" s="124" t="s">
        <v>123</v>
      </c>
      <c r="C38" s="141" t="s">
        <v>124</v>
      </c>
      <c r="D38" s="125" t="s">
        <v>125</v>
      </c>
      <c r="E38" s="130">
        <v>262941</v>
      </c>
      <c r="F38" s="131">
        <v>96468</v>
      </c>
      <c r="G38" s="131">
        <v>162639</v>
      </c>
      <c r="H38" s="131">
        <v>0</v>
      </c>
      <c r="I38" s="131">
        <v>90723</v>
      </c>
      <c r="J38" s="131">
        <v>126378</v>
      </c>
      <c r="K38" s="131">
        <v>31746</v>
      </c>
      <c r="L38" s="131">
        <v>29341</v>
      </c>
      <c r="M38" s="131">
        <v>51611</v>
      </c>
      <c r="N38" s="131">
        <v>6330</v>
      </c>
      <c r="O38" s="131">
        <v>30661</v>
      </c>
      <c r="P38" s="131">
        <v>24946</v>
      </c>
      <c r="Q38" s="131">
        <v>96658</v>
      </c>
      <c r="R38" s="129">
        <f t="shared" si="0"/>
        <v>1010442</v>
      </c>
      <c r="S38" s="122"/>
    </row>
    <row r="39" spans="2:19" ht="22.5" customHeight="1">
      <c r="B39" s="122"/>
      <c r="C39" s="141"/>
      <c r="D39" s="147" t="s">
        <v>126</v>
      </c>
      <c r="E39" s="148">
        <v>171179</v>
      </c>
      <c r="F39" s="149">
        <v>173746</v>
      </c>
      <c r="G39" s="149">
        <v>586164</v>
      </c>
      <c r="H39" s="149">
        <v>0</v>
      </c>
      <c r="I39" s="149">
        <v>46280</v>
      </c>
      <c r="J39" s="149">
        <v>216485</v>
      </c>
      <c r="K39" s="149">
        <v>19846</v>
      </c>
      <c r="L39" s="149">
        <v>11880</v>
      </c>
      <c r="M39" s="149">
        <v>63542</v>
      </c>
      <c r="N39" s="149">
        <v>467</v>
      </c>
      <c r="O39" s="149">
        <v>22322</v>
      </c>
      <c r="P39" s="149">
        <v>9082</v>
      </c>
      <c r="Q39" s="149">
        <v>190256</v>
      </c>
      <c r="R39" s="150">
        <f t="shared" si="0"/>
        <v>1511249</v>
      </c>
      <c r="S39" s="122"/>
    </row>
    <row r="40" spans="2:19" ht="22.5" customHeight="1">
      <c r="B40" s="122"/>
      <c r="C40" s="151"/>
      <c r="D40" s="152" t="s">
        <v>332</v>
      </c>
      <c r="E40" s="153">
        <f>SUM(E32:E39)</f>
        <v>11657596</v>
      </c>
      <c r="F40" s="154">
        <f aca="true" t="shared" si="3" ref="F40:Q40">SUM(F32:F39)</f>
        <v>3000292</v>
      </c>
      <c r="G40" s="154">
        <f t="shared" si="3"/>
        <v>5155731</v>
      </c>
      <c r="H40" s="154">
        <f t="shared" si="3"/>
        <v>0</v>
      </c>
      <c r="I40" s="154">
        <f t="shared" si="3"/>
        <v>2782547</v>
      </c>
      <c r="J40" s="154">
        <f t="shared" si="3"/>
        <v>2252415</v>
      </c>
      <c r="K40" s="154">
        <f t="shared" si="3"/>
        <v>597798</v>
      </c>
      <c r="L40" s="154">
        <f t="shared" si="3"/>
        <v>336490</v>
      </c>
      <c r="M40" s="154">
        <f t="shared" si="3"/>
        <v>1552141</v>
      </c>
      <c r="N40" s="154">
        <f t="shared" si="3"/>
        <v>74908</v>
      </c>
      <c r="O40" s="154">
        <f t="shared" si="3"/>
        <v>371821</v>
      </c>
      <c r="P40" s="154">
        <f t="shared" si="3"/>
        <v>280842</v>
      </c>
      <c r="Q40" s="154">
        <f t="shared" si="3"/>
        <v>2115570</v>
      </c>
      <c r="R40" s="155">
        <f t="shared" si="0"/>
        <v>30178151</v>
      </c>
      <c r="S40" s="122"/>
    </row>
    <row r="41" spans="2:19" ht="22.5" customHeight="1">
      <c r="B41" s="122"/>
      <c r="C41" s="147"/>
      <c r="D41" s="125" t="s">
        <v>127</v>
      </c>
      <c r="E41" s="130">
        <v>162667</v>
      </c>
      <c r="F41" s="131">
        <v>38623</v>
      </c>
      <c r="G41" s="131">
        <v>47768</v>
      </c>
      <c r="H41" s="131">
        <v>0</v>
      </c>
      <c r="I41" s="131">
        <v>47814</v>
      </c>
      <c r="J41" s="131">
        <v>46541</v>
      </c>
      <c r="K41" s="131">
        <v>19391</v>
      </c>
      <c r="L41" s="131">
        <v>8956</v>
      </c>
      <c r="M41" s="131">
        <v>32044</v>
      </c>
      <c r="N41" s="131">
        <v>3133</v>
      </c>
      <c r="O41" s="131">
        <v>8016</v>
      </c>
      <c r="P41" s="131">
        <v>4108</v>
      </c>
      <c r="Q41" s="131">
        <v>36376</v>
      </c>
      <c r="R41" s="129">
        <f t="shared" si="0"/>
        <v>455437</v>
      </c>
      <c r="S41" s="122"/>
    </row>
    <row r="42" spans="2:19" ht="22.5" customHeight="1">
      <c r="B42" s="124" t="s">
        <v>128</v>
      </c>
      <c r="C42" s="141"/>
      <c r="D42" s="125" t="s">
        <v>130</v>
      </c>
      <c r="E42" s="130">
        <v>213654</v>
      </c>
      <c r="F42" s="131">
        <v>75133</v>
      </c>
      <c r="G42" s="131">
        <v>91126</v>
      </c>
      <c r="H42" s="131">
        <v>0</v>
      </c>
      <c r="I42" s="131">
        <v>52658</v>
      </c>
      <c r="J42" s="131">
        <v>85109</v>
      </c>
      <c r="K42" s="131">
        <v>28295</v>
      </c>
      <c r="L42" s="131">
        <v>53545</v>
      </c>
      <c r="M42" s="131">
        <v>66137</v>
      </c>
      <c r="N42" s="131">
        <v>13055</v>
      </c>
      <c r="O42" s="131">
        <v>39208</v>
      </c>
      <c r="P42" s="131">
        <v>61159</v>
      </c>
      <c r="Q42" s="131">
        <v>47164</v>
      </c>
      <c r="R42" s="129">
        <f t="shared" si="0"/>
        <v>826243</v>
      </c>
      <c r="S42" s="122"/>
    </row>
    <row r="43" spans="2:19" ht="22.5" customHeight="1">
      <c r="B43" s="122"/>
      <c r="C43" s="141" t="s">
        <v>129</v>
      </c>
      <c r="D43" s="125" t="s">
        <v>115</v>
      </c>
      <c r="E43" s="130">
        <v>929958</v>
      </c>
      <c r="F43" s="131">
        <v>111373</v>
      </c>
      <c r="G43" s="131">
        <v>505466</v>
      </c>
      <c r="H43" s="131">
        <v>0</v>
      </c>
      <c r="I43" s="131">
        <v>14778</v>
      </c>
      <c r="J43" s="131">
        <v>85159</v>
      </c>
      <c r="K43" s="131">
        <v>161679</v>
      </c>
      <c r="L43" s="131">
        <v>9967</v>
      </c>
      <c r="M43" s="131">
        <v>1237</v>
      </c>
      <c r="N43" s="131">
        <v>12562</v>
      </c>
      <c r="O43" s="131">
        <v>4656</v>
      </c>
      <c r="P43" s="131">
        <v>15203</v>
      </c>
      <c r="Q43" s="131">
        <v>52329</v>
      </c>
      <c r="R43" s="129">
        <f t="shared" si="0"/>
        <v>1904367</v>
      </c>
      <c r="S43" s="122"/>
    </row>
    <row r="44" spans="2:19" ht="22.5" customHeight="1">
      <c r="B44" s="122"/>
      <c r="C44" s="147"/>
      <c r="D44" s="125" t="s">
        <v>117</v>
      </c>
      <c r="E44" s="130">
        <v>1228008</v>
      </c>
      <c r="F44" s="131">
        <v>219796</v>
      </c>
      <c r="G44" s="131">
        <v>654176</v>
      </c>
      <c r="H44" s="131">
        <v>0</v>
      </c>
      <c r="I44" s="131">
        <v>126341</v>
      </c>
      <c r="J44" s="131">
        <v>218084</v>
      </c>
      <c r="K44" s="131">
        <v>13500</v>
      </c>
      <c r="L44" s="131">
        <v>39215</v>
      </c>
      <c r="M44" s="131">
        <v>122453</v>
      </c>
      <c r="N44" s="131">
        <v>1215</v>
      </c>
      <c r="O44" s="131">
        <v>14628</v>
      </c>
      <c r="P44" s="131">
        <v>9397</v>
      </c>
      <c r="Q44" s="131">
        <v>107426</v>
      </c>
      <c r="R44" s="129">
        <f t="shared" si="0"/>
        <v>2754239</v>
      </c>
      <c r="S44" s="122"/>
    </row>
    <row r="45" spans="2:19" ht="22.5" customHeight="1">
      <c r="B45" s="124"/>
      <c r="C45" s="147"/>
      <c r="D45" s="125" t="s">
        <v>118</v>
      </c>
      <c r="E45" s="130">
        <v>496407</v>
      </c>
      <c r="F45" s="131">
        <v>234834</v>
      </c>
      <c r="G45" s="131">
        <v>288855</v>
      </c>
      <c r="H45" s="131">
        <v>0</v>
      </c>
      <c r="I45" s="131">
        <v>131635</v>
      </c>
      <c r="J45" s="131">
        <v>556866</v>
      </c>
      <c r="K45" s="131">
        <v>201117</v>
      </c>
      <c r="L45" s="131">
        <v>112057</v>
      </c>
      <c r="M45" s="131">
        <v>235934</v>
      </c>
      <c r="N45" s="131">
        <v>894</v>
      </c>
      <c r="O45" s="131">
        <v>5467</v>
      </c>
      <c r="P45" s="131">
        <v>2919</v>
      </c>
      <c r="Q45" s="131">
        <v>186625</v>
      </c>
      <c r="R45" s="129">
        <f t="shared" si="0"/>
        <v>2453610</v>
      </c>
      <c r="S45" s="122"/>
    </row>
    <row r="46" spans="2:19" ht="22.5" customHeight="1">
      <c r="B46" s="124" t="s">
        <v>116</v>
      </c>
      <c r="C46" s="147"/>
      <c r="D46" s="125" t="s">
        <v>120</v>
      </c>
      <c r="E46" s="130">
        <v>1416863</v>
      </c>
      <c r="F46" s="131">
        <v>331705</v>
      </c>
      <c r="G46" s="131">
        <v>557847</v>
      </c>
      <c r="H46" s="131">
        <v>0</v>
      </c>
      <c r="I46" s="131">
        <v>251643</v>
      </c>
      <c r="J46" s="131">
        <v>222093</v>
      </c>
      <c r="K46" s="131">
        <v>58278</v>
      </c>
      <c r="L46" s="131">
        <v>29941</v>
      </c>
      <c r="M46" s="131">
        <v>153530</v>
      </c>
      <c r="N46" s="131">
        <v>17329</v>
      </c>
      <c r="O46" s="131">
        <v>31686</v>
      </c>
      <c r="P46" s="131">
        <v>44463</v>
      </c>
      <c r="Q46" s="131">
        <v>209812</v>
      </c>
      <c r="R46" s="129">
        <f t="shared" si="0"/>
        <v>3325190</v>
      </c>
      <c r="S46" s="122"/>
    </row>
    <row r="47" spans="2:19" ht="22.5" customHeight="1">
      <c r="B47" s="122"/>
      <c r="C47" s="141" t="s">
        <v>131</v>
      </c>
      <c r="D47" s="125" t="s">
        <v>121</v>
      </c>
      <c r="E47" s="130">
        <v>920384</v>
      </c>
      <c r="F47" s="131">
        <v>290845</v>
      </c>
      <c r="G47" s="131">
        <v>323149</v>
      </c>
      <c r="H47" s="131">
        <v>0</v>
      </c>
      <c r="I47" s="131">
        <v>202307</v>
      </c>
      <c r="J47" s="131">
        <v>158502</v>
      </c>
      <c r="K47" s="131">
        <v>43667</v>
      </c>
      <c r="L47" s="131">
        <v>20348</v>
      </c>
      <c r="M47" s="131">
        <v>172833</v>
      </c>
      <c r="N47" s="131">
        <v>5275</v>
      </c>
      <c r="O47" s="131">
        <v>14862</v>
      </c>
      <c r="P47" s="131">
        <v>16311</v>
      </c>
      <c r="Q47" s="131">
        <v>126356</v>
      </c>
      <c r="R47" s="129">
        <f t="shared" si="0"/>
        <v>2294839</v>
      </c>
      <c r="S47" s="122"/>
    </row>
    <row r="48" spans="2:19" ht="22.5" customHeight="1">
      <c r="B48" s="122"/>
      <c r="C48" s="141"/>
      <c r="D48" s="147" t="s">
        <v>126</v>
      </c>
      <c r="E48" s="148">
        <v>853505</v>
      </c>
      <c r="F48" s="149">
        <v>169027</v>
      </c>
      <c r="G48" s="149">
        <v>328782</v>
      </c>
      <c r="H48" s="149">
        <v>0</v>
      </c>
      <c r="I48" s="149">
        <v>160223</v>
      </c>
      <c r="J48" s="149">
        <v>231409</v>
      </c>
      <c r="K48" s="149">
        <v>63676</v>
      </c>
      <c r="L48" s="149">
        <v>23272</v>
      </c>
      <c r="M48" s="149">
        <v>53718</v>
      </c>
      <c r="N48" s="149">
        <v>65128</v>
      </c>
      <c r="O48" s="149">
        <v>18014</v>
      </c>
      <c r="P48" s="149">
        <v>112704</v>
      </c>
      <c r="Q48" s="149">
        <v>98018</v>
      </c>
      <c r="R48" s="150">
        <f t="shared" si="0"/>
        <v>2177476</v>
      </c>
      <c r="S48" s="122"/>
    </row>
    <row r="49" spans="2:19" ht="22.5" customHeight="1" thickBot="1">
      <c r="B49" s="123"/>
      <c r="C49" s="156"/>
      <c r="D49" s="157" t="s">
        <v>332</v>
      </c>
      <c r="E49" s="158">
        <f>SUM(E41:E48)</f>
        <v>6221446</v>
      </c>
      <c r="F49" s="159">
        <f aca="true" t="shared" si="4" ref="F49:Q49">SUM(F41:F48)</f>
        <v>1471336</v>
      </c>
      <c r="G49" s="159">
        <f t="shared" si="4"/>
        <v>2797169</v>
      </c>
      <c r="H49" s="159">
        <f t="shared" si="4"/>
        <v>0</v>
      </c>
      <c r="I49" s="159">
        <f t="shared" si="4"/>
        <v>987399</v>
      </c>
      <c r="J49" s="159">
        <f t="shared" si="4"/>
        <v>1603763</v>
      </c>
      <c r="K49" s="159">
        <f t="shared" si="4"/>
        <v>589603</v>
      </c>
      <c r="L49" s="159">
        <f t="shared" si="4"/>
        <v>297301</v>
      </c>
      <c r="M49" s="159">
        <f t="shared" si="4"/>
        <v>837886</v>
      </c>
      <c r="N49" s="159">
        <f t="shared" si="4"/>
        <v>118591</v>
      </c>
      <c r="O49" s="159">
        <f t="shared" si="4"/>
        <v>136537</v>
      </c>
      <c r="P49" s="159">
        <f t="shared" si="4"/>
        <v>266264</v>
      </c>
      <c r="Q49" s="159">
        <f t="shared" si="4"/>
        <v>864106</v>
      </c>
      <c r="R49" s="160">
        <f t="shared" si="0"/>
        <v>16191401</v>
      </c>
      <c r="S49" s="122"/>
    </row>
  </sheetData>
  <sheetProtection/>
  <mergeCells count="1">
    <mergeCell ref="H6:H7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81"/>
  <sheetViews>
    <sheetView showGridLines="0" showZeros="0" view="pageBreakPreview" zoomScale="58" zoomScaleNormal="65" zoomScaleSheetLayoutView="58" zoomScalePageLayoutView="0" workbookViewId="0" topLeftCell="A1">
      <pane xSplit="4" ySplit="7" topLeftCell="E8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E8" sqref="E8"/>
    </sheetView>
  </sheetViews>
  <sheetFormatPr defaultColWidth="8.66015625" defaultRowHeight="18"/>
  <cols>
    <col min="1" max="1" width="1.66015625" style="164" customWidth="1"/>
    <col min="2" max="3" width="2.66015625" style="164" customWidth="1"/>
    <col min="4" max="4" width="26.66015625" style="164" customWidth="1"/>
    <col min="5" max="17" width="13.08203125" style="164" customWidth="1"/>
    <col min="18" max="18" width="13.16015625" style="164" customWidth="1"/>
    <col min="19" max="19" width="1.66015625" style="164" customWidth="1"/>
    <col min="20" max="20" width="2.66015625" style="164" customWidth="1"/>
    <col min="21" max="16384" width="8.66015625" style="164" customWidth="1"/>
  </cols>
  <sheetData>
    <row r="1" ht="18" customHeight="1">
      <c r="B1" s="165" t="s">
        <v>469</v>
      </c>
    </row>
    <row r="2" spans="2:18" ht="18" customHeight="1" thickBot="1">
      <c r="B2" s="166" t="s">
        <v>132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 t="s">
        <v>133</v>
      </c>
    </row>
    <row r="3" spans="2:19" ht="18" customHeight="1">
      <c r="B3" s="163"/>
      <c r="E3" s="73"/>
      <c r="F3" s="74"/>
      <c r="G3" s="74"/>
      <c r="H3" s="35"/>
      <c r="I3" s="74"/>
      <c r="J3" s="74"/>
      <c r="K3" s="74"/>
      <c r="L3" s="74"/>
      <c r="M3" s="74"/>
      <c r="N3" s="74"/>
      <c r="O3" s="74"/>
      <c r="P3" s="74"/>
      <c r="Q3" s="74"/>
      <c r="R3" s="168"/>
      <c r="S3" s="163"/>
    </row>
    <row r="4" spans="2:19" ht="18" customHeight="1">
      <c r="B4" s="163"/>
      <c r="D4" s="164" t="s">
        <v>134</v>
      </c>
      <c r="E4" s="75" t="s">
        <v>2</v>
      </c>
      <c r="F4" s="76" t="s">
        <v>3</v>
      </c>
      <c r="G4" s="76" t="s">
        <v>4</v>
      </c>
      <c r="H4" s="37" t="s">
        <v>5</v>
      </c>
      <c r="I4" s="76" t="s">
        <v>6</v>
      </c>
      <c r="J4" s="76" t="s">
        <v>7</v>
      </c>
      <c r="K4" s="76" t="s">
        <v>8</v>
      </c>
      <c r="L4" s="76" t="s">
        <v>222</v>
      </c>
      <c r="M4" s="76" t="s">
        <v>223</v>
      </c>
      <c r="N4" s="76" t="s">
        <v>224</v>
      </c>
      <c r="O4" s="76" t="s">
        <v>9</v>
      </c>
      <c r="P4" s="76" t="s">
        <v>225</v>
      </c>
      <c r="Q4" s="76" t="s">
        <v>10</v>
      </c>
      <c r="R4" s="168"/>
      <c r="S4" s="163"/>
    </row>
    <row r="5" spans="2:19" ht="18" customHeight="1">
      <c r="B5" s="163"/>
      <c r="E5" s="73"/>
      <c r="F5" s="74"/>
      <c r="G5" s="74"/>
      <c r="H5" s="534" t="s">
        <v>458</v>
      </c>
      <c r="I5" s="74"/>
      <c r="J5" s="74"/>
      <c r="K5" s="74"/>
      <c r="L5" s="74"/>
      <c r="M5" s="74"/>
      <c r="N5" s="74"/>
      <c r="O5" s="74"/>
      <c r="P5" s="74"/>
      <c r="Q5" s="74"/>
      <c r="R5" s="169" t="s">
        <v>11</v>
      </c>
      <c r="S5" s="163"/>
    </row>
    <row r="6" spans="2:19" ht="18" customHeight="1">
      <c r="B6" s="163"/>
      <c r="C6" s="164" t="s">
        <v>57</v>
      </c>
      <c r="E6" s="73" t="s">
        <v>333</v>
      </c>
      <c r="F6" s="74" t="s">
        <v>333</v>
      </c>
      <c r="G6" s="74"/>
      <c r="H6" s="534"/>
      <c r="I6" s="74"/>
      <c r="J6" s="74"/>
      <c r="K6" s="74" t="s">
        <v>333</v>
      </c>
      <c r="L6" s="77" t="s">
        <v>334</v>
      </c>
      <c r="M6" s="74" t="s">
        <v>335</v>
      </c>
      <c r="N6" s="74" t="s">
        <v>13</v>
      </c>
      <c r="O6" s="74" t="s">
        <v>13</v>
      </c>
      <c r="P6" s="74" t="s">
        <v>336</v>
      </c>
      <c r="Q6" s="74"/>
      <c r="R6" s="168"/>
      <c r="S6" s="163"/>
    </row>
    <row r="7" spans="2:19" ht="18" customHeight="1" thickBot="1">
      <c r="B7" s="170"/>
      <c r="C7" s="166"/>
      <c r="D7" s="166"/>
      <c r="E7" s="117" t="s">
        <v>337</v>
      </c>
      <c r="F7" s="81" t="s">
        <v>338</v>
      </c>
      <c r="G7" s="81" t="s">
        <v>14</v>
      </c>
      <c r="H7" s="432" t="s">
        <v>446</v>
      </c>
      <c r="I7" s="81" t="s">
        <v>297</v>
      </c>
      <c r="J7" s="81" t="s">
        <v>15</v>
      </c>
      <c r="K7" s="81" t="s">
        <v>16</v>
      </c>
      <c r="L7" s="81" t="s">
        <v>296</v>
      </c>
      <c r="M7" s="81" t="s">
        <v>315</v>
      </c>
      <c r="N7" s="81" t="s">
        <v>58</v>
      </c>
      <c r="O7" s="81" t="s">
        <v>59</v>
      </c>
      <c r="P7" s="81" t="s">
        <v>228</v>
      </c>
      <c r="Q7" s="81" t="s">
        <v>17</v>
      </c>
      <c r="R7" s="171"/>
      <c r="S7" s="163"/>
    </row>
    <row r="8" spans="2:19" ht="18" customHeight="1">
      <c r="B8" s="161" t="s">
        <v>283</v>
      </c>
      <c r="C8" s="162"/>
      <c r="D8" s="162"/>
      <c r="E8" s="172">
        <f>E9+E14+E15</f>
        <v>19098673</v>
      </c>
      <c r="F8" s="173">
        <f aca="true" t="shared" si="0" ref="F8:Q8">F9+F14+F15</f>
        <v>3608516</v>
      </c>
      <c r="G8" s="173">
        <f t="shared" si="0"/>
        <v>7669379</v>
      </c>
      <c r="H8" s="464">
        <f t="shared" si="0"/>
        <v>0</v>
      </c>
      <c r="I8" s="173">
        <f t="shared" si="0"/>
        <v>6464986</v>
      </c>
      <c r="J8" s="173">
        <f t="shared" si="0"/>
        <v>3521532</v>
      </c>
      <c r="K8" s="173">
        <f t="shared" si="0"/>
        <v>2959538</v>
      </c>
      <c r="L8" s="174">
        <f t="shared" si="0"/>
        <v>2023130</v>
      </c>
      <c r="M8" s="173">
        <f t="shared" si="0"/>
        <v>3258518</v>
      </c>
      <c r="N8" s="173">
        <f t="shared" si="0"/>
        <v>290823</v>
      </c>
      <c r="O8" s="173">
        <f t="shared" si="0"/>
        <v>824231</v>
      </c>
      <c r="P8" s="173">
        <f t="shared" si="0"/>
        <v>325586</v>
      </c>
      <c r="Q8" s="173">
        <f t="shared" si="0"/>
        <v>5193599</v>
      </c>
      <c r="R8" s="173">
        <f>SUM(E8:Q8)</f>
        <v>55238511</v>
      </c>
      <c r="S8" s="163"/>
    </row>
    <row r="9" spans="2:19" ht="18" customHeight="1">
      <c r="B9" s="163"/>
      <c r="C9" s="175" t="s">
        <v>284</v>
      </c>
      <c r="D9" s="176"/>
      <c r="E9" s="177">
        <v>18124821</v>
      </c>
      <c r="F9" s="178">
        <f aca="true" t="shared" si="1" ref="F9:Q9">F10+F11-F12+F13</f>
        <v>3457502</v>
      </c>
      <c r="G9" s="178">
        <f t="shared" si="1"/>
        <v>7437179</v>
      </c>
      <c r="H9" s="465" t="s">
        <v>460</v>
      </c>
      <c r="I9" s="178">
        <v>6462206</v>
      </c>
      <c r="J9" s="178">
        <f t="shared" si="1"/>
        <v>3487000</v>
      </c>
      <c r="K9" s="178">
        <f t="shared" si="1"/>
        <v>2619344</v>
      </c>
      <c r="L9" s="178">
        <f t="shared" si="1"/>
        <v>2021307</v>
      </c>
      <c r="M9" s="178">
        <f t="shared" si="1"/>
        <v>3255635</v>
      </c>
      <c r="N9" s="178">
        <v>290667</v>
      </c>
      <c r="O9" s="178">
        <f t="shared" si="1"/>
        <v>793328</v>
      </c>
      <c r="P9" s="178">
        <f t="shared" si="1"/>
        <v>325586</v>
      </c>
      <c r="Q9" s="178">
        <f t="shared" si="1"/>
        <v>5054790</v>
      </c>
      <c r="R9" s="179">
        <f>SUM(E9:Q9)</f>
        <v>53329365</v>
      </c>
      <c r="S9" s="163"/>
    </row>
    <row r="10" spans="2:19" ht="18" customHeight="1">
      <c r="B10" s="163"/>
      <c r="D10" s="176" t="s">
        <v>135</v>
      </c>
      <c r="E10" s="180">
        <v>2761760</v>
      </c>
      <c r="F10" s="181">
        <v>1287613</v>
      </c>
      <c r="G10" s="181">
        <v>891046</v>
      </c>
      <c r="H10" s="466">
        <v>0</v>
      </c>
      <c r="I10" s="181">
        <v>1346497</v>
      </c>
      <c r="J10" s="181">
        <v>398381</v>
      </c>
      <c r="K10" s="181">
        <v>351849</v>
      </c>
      <c r="L10" s="181">
        <v>190408</v>
      </c>
      <c r="M10" s="181">
        <v>502610</v>
      </c>
      <c r="N10" s="181">
        <v>7435</v>
      </c>
      <c r="O10" s="181">
        <v>12954</v>
      </c>
      <c r="P10" s="181">
        <v>38532</v>
      </c>
      <c r="Q10" s="181">
        <v>325824</v>
      </c>
      <c r="R10" s="182">
        <f aca="true" t="shared" si="2" ref="R10:R49">SUM(E10:Q10)</f>
        <v>8114909</v>
      </c>
      <c r="S10" s="163"/>
    </row>
    <row r="11" spans="2:19" ht="18" customHeight="1">
      <c r="B11" s="163"/>
      <c r="D11" s="176" t="s">
        <v>136</v>
      </c>
      <c r="E11" s="180">
        <v>29168092</v>
      </c>
      <c r="F11" s="181">
        <v>9316917</v>
      </c>
      <c r="G11" s="181">
        <v>16475638</v>
      </c>
      <c r="H11" s="466">
        <v>0</v>
      </c>
      <c r="I11" s="181">
        <v>15488860</v>
      </c>
      <c r="J11" s="181">
        <v>8615433</v>
      </c>
      <c r="K11" s="181">
        <v>5120527</v>
      </c>
      <c r="L11" s="181">
        <v>3823148</v>
      </c>
      <c r="M11" s="181">
        <v>7512789</v>
      </c>
      <c r="N11" s="181">
        <v>688501</v>
      </c>
      <c r="O11" s="181">
        <v>1366515</v>
      </c>
      <c r="P11" s="181">
        <v>1009526</v>
      </c>
      <c r="Q11" s="181">
        <v>8773145</v>
      </c>
      <c r="R11" s="182">
        <f t="shared" si="2"/>
        <v>107359091</v>
      </c>
      <c r="S11" s="163"/>
    </row>
    <row r="12" spans="2:19" ht="18" customHeight="1">
      <c r="B12" s="163"/>
      <c r="D12" s="521" t="s">
        <v>472</v>
      </c>
      <c r="E12" s="180">
        <v>13830615</v>
      </c>
      <c r="F12" s="181">
        <v>7213532</v>
      </c>
      <c r="G12" s="181">
        <v>10045097</v>
      </c>
      <c r="H12" s="466">
        <v>0</v>
      </c>
      <c r="I12" s="181">
        <v>10373151</v>
      </c>
      <c r="J12" s="181">
        <v>5526814</v>
      </c>
      <c r="K12" s="181">
        <v>2862782</v>
      </c>
      <c r="L12" s="181">
        <v>1992249</v>
      </c>
      <c r="M12" s="181">
        <v>4759764</v>
      </c>
      <c r="N12" s="181">
        <v>405269</v>
      </c>
      <c r="O12" s="181">
        <v>586141</v>
      </c>
      <c r="P12" s="181">
        <v>722472</v>
      </c>
      <c r="Q12" s="181">
        <v>4868727</v>
      </c>
      <c r="R12" s="182">
        <f t="shared" si="2"/>
        <v>63186613</v>
      </c>
      <c r="S12" s="163"/>
    </row>
    <row r="13" spans="2:19" ht="18" customHeight="1">
      <c r="B13" s="163"/>
      <c r="D13" s="176" t="s">
        <v>137</v>
      </c>
      <c r="E13" s="180">
        <v>25584</v>
      </c>
      <c r="F13" s="181">
        <v>66504</v>
      </c>
      <c r="G13" s="181">
        <v>115592</v>
      </c>
      <c r="H13" s="466">
        <v>0</v>
      </c>
      <c r="I13" s="181"/>
      <c r="J13" s="181">
        <v>0</v>
      </c>
      <c r="K13" s="181">
        <v>9750</v>
      </c>
      <c r="L13" s="181">
        <v>0</v>
      </c>
      <c r="M13" s="181"/>
      <c r="N13" s="181">
        <v>0</v>
      </c>
      <c r="O13" s="181">
        <v>0</v>
      </c>
      <c r="P13" s="181">
        <v>0</v>
      </c>
      <c r="Q13" s="181">
        <v>824548</v>
      </c>
      <c r="R13" s="182">
        <f t="shared" si="2"/>
        <v>1041978</v>
      </c>
      <c r="S13" s="163"/>
    </row>
    <row r="14" spans="2:19" ht="18" customHeight="1">
      <c r="B14" s="163"/>
      <c r="C14" s="183" t="s">
        <v>285</v>
      </c>
      <c r="D14" s="162"/>
      <c r="E14" s="184">
        <v>3443</v>
      </c>
      <c r="F14" s="185">
        <v>3563</v>
      </c>
      <c r="G14" s="185">
        <v>0</v>
      </c>
      <c r="H14" s="467">
        <v>0</v>
      </c>
      <c r="I14" s="185">
        <v>2780</v>
      </c>
      <c r="J14" s="185">
        <v>3279</v>
      </c>
      <c r="K14" s="185">
        <v>940</v>
      </c>
      <c r="L14" s="185">
        <v>1823</v>
      </c>
      <c r="M14" s="185">
        <v>2883</v>
      </c>
      <c r="N14" s="185">
        <v>156</v>
      </c>
      <c r="O14" s="185">
        <v>676</v>
      </c>
      <c r="P14" s="185">
        <v>0</v>
      </c>
      <c r="Q14" s="185">
        <v>1288</v>
      </c>
      <c r="R14" s="186">
        <f t="shared" si="2"/>
        <v>20831</v>
      </c>
      <c r="S14" s="163"/>
    </row>
    <row r="15" spans="2:19" ht="18" customHeight="1">
      <c r="B15" s="187"/>
      <c r="C15" s="520" t="s">
        <v>522</v>
      </c>
      <c r="D15" s="162"/>
      <c r="E15" s="172">
        <v>970409</v>
      </c>
      <c r="F15" s="173">
        <v>147451</v>
      </c>
      <c r="G15" s="173">
        <v>232200</v>
      </c>
      <c r="H15" s="468">
        <v>0</v>
      </c>
      <c r="I15" s="173">
        <v>0</v>
      </c>
      <c r="J15" s="173">
        <v>31253</v>
      </c>
      <c r="K15" s="173">
        <v>339254</v>
      </c>
      <c r="L15" s="188">
        <v>0</v>
      </c>
      <c r="M15" s="173">
        <v>0</v>
      </c>
      <c r="N15" s="173">
        <v>0</v>
      </c>
      <c r="O15" s="173">
        <v>30227</v>
      </c>
      <c r="P15" s="173">
        <v>0</v>
      </c>
      <c r="Q15" s="173">
        <v>137521</v>
      </c>
      <c r="R15" s="173">
        <f t="shared" si="2"/>
        <v>1888315</v>
      </c>
      <c r="S15" s="163"/>
    </row>
    <row r="16" spans="2:19" ht="18" customHeight="1">
      <c r="B16" s="161" t="s">
        <v>286</v>
      </c>
      <c r="C16" s="162"/>
      <c r="D16" s="162"/>
      <c r="E16" s="522">
        <f>E17+E18-E19+E20+E21</f>
        <v>11644526</v>
      </c>
      <c r="F16" s="173">
        <f aca="true" t="shared" si="3" ref="F16:Q16">F17+F18-F19+F20+F21</f>
        <v>1140608</v>
      </c>
      <c r="G16" s="173">
        <f t="shared" si="3"/>
        <v>2743911</v>
      </c>
      <c r="H16" s="468">
        <f t="shared" si="3"/>
        <v>0</v>
      </c>
      <c r="I16" s="173">
        <f t="shared" si="3"/>
        <v>892429</v>
      </c>
      <c r="J16" s="173">
        <f t="shared" si="3"/>
        <v>790016</v>
      </c>
      <c r="K16" s="173">
        <f t="shared" si="3"/>
        <v>545100</v>
      </c>
      <c r="L16" s="188">
        <f t="shared" si="3"/>
        <v>263518</v>
      </c>
      <c r="M16" s="173">
        <f t="shared" si="3"/>
        <v>756029</v>
      </c>
      <c r="N16" s="173">
        <f t="shared" si="3"/>
        <v>249705</v>
      </c>
      <c r="O16" s="173">
        <f t="shared" si="3"/>
        <v>476679</v>
      </c>
      <c r="P16" s="173">
        <v>228610</v>
      </c>
      <c r="Q16" s="173">
        <f t="shared" si="3"/>
        <v>2678981</v>
      </c>
      <c r="R16" s="173">
        <f t="shared" si="2"/>
        <v>22410112</v>
      </c>
      <c r="S16" s="163"/>
    </row>
    <row r="17" spans="2:19" ht="18" customHeight="1">
      <c r="B17" s="163"/>
      <c r="C17" s="162" t="s">
        <v>138</v>
      </c>
      <c r="D17" s="162"/>
      <c r="E17" s="172">
        <v>8508306</v>
      </c>
      <c r="F17" s="173">
        <v>125498</v>
      </c>
      <c r="G17" s="173">
        <v>1334242</v>
      </c>
      <c r="H17" s="468">
        <v>0</v>
      </c>
      <c r="I17" s="173">
        <v>60330</v>
      </c>
      <c r="J17" s="173">
        <v>62833</v>
      </c>
      <c r="K17" s="173">
        <v>181038</v>
      </c>
      <c r="L17" s="188">
        <v>168808</v>
      </c>
      <c r="M17" s="173">
        <v>224961</v>
      </c>
      <c r="N17" s="173">
        <v>215244</v>
      </c>
      <c r="O17" s="173">
        <v>381639</v>
      </c>
      <c r="P17" s="173">
        <v>160327</v>
      </c>
      <c r="Q17" s="173">
        <v>1764976</v>
      </c>
      <c r="R17" s="173">
        <f t="shared" si="2"/>
        <v>13188202</v>
      </c>
      <c r="S17" s="163"/>
    </row>
    <row r="18" spans="2:19" ht="18" customHeight="1">
      <c r="B18" s="163"/>
      <c r="C18" s="520" t="s">
        <v>523</v>
      </c>
      <c r="D18" s="162"/>
      <c r="E18" s="172">
        <v>2963245</v>
      </c>
      <c r="F18" s="173">
        <v>999073</v>
      </c>
      <c r="G18" s="173">
        <v>1319998</v>
      </c>
      <c r="H18" s="468">
        <v>0</v>
      </c>
      <c r="I18" s="173">
        <v>822592</v>
      </c>
      <c r="J18" s="173">
        <v>675303</v>
      </c>
      <c r="K18" s="173">
        <v>358953</v>
      </c>
      <c r="L18" s="188">
        <v>106081</v>
      </c>
      <c r="M18" s="173">
        <v>528375</v>
      </c>
      <c r="N18" s="173">
        <v>29291</v>
      </c>
      <c r="O18" s="173">
        <v>93416</v>
      </c>
      <c r="P18" s="173">
        <v>57947</v>
      </c>
      <c r="Q18" s="173">
        <v>919323</v>
      </c>
      <c r="R18" s="173">
        <f t="shared" si="2"/>
        <v>8873597</v>
      </c>
      <c r="S18" s="163"/>
    </row>
    <row r="19" spans="2:19" ht="18" customHeight="1">
      <c r="B19" s="163"/>
      <c r="C19" s="520" t="s">
        <v>473</v>
      </c>
      <c r="D19" s="162"/>
      <c r="E19" s="172">
        <v>22604</v>
      </c>
      <c r="F19" s="173">
        <v>1800</v>
      </c>
      <c r="G19" s="173">
        <v>3420</v>
      </c>
      <c r="H19" s="468">
        <v>0</v>
      </c>
      <c r="I19" s="173">
        <v>15717</v>
      </c>
      <c r="J19" s="173">
        <v>1767</v>
      </c>
      <c r="K19" s="173">
        <v>3032</v>
      </c>
      <c r="L19" s="188">
        <v>15126</v>
      </c>
      <c r="M19" s="173">
        <v>6791</v>
      </c>
      <c r="N19" s="173"/>
      <c r="O19" s="173"/>
      <c r="P19" s="173"/>
      <c r="Q19" s="173">
        <v>13402</v>
      </c>
      <c r="R19" s="173">
        <f>SUM(E19:Q19)</f>
        <v>83659</v>
      </c>
      <c r="S19" s="163"/>
    </row>
    <row r="20" spans="2:19" ht="18" customHeight="1">
      <c r="B20" s="163"/>
      <c r="C20" s="520" t="s">
        <v>470</v>
      </c>
      <c r="D20" s="162"/>
      <c r="E20" s="172">
        <v>195579</v>
      </c>
      <c r="F20" s="173">
        <v>17837</v>
      </c>
      <c r="G20" s="173">
        <v>93091</v>
      </c>
      <c r="H20" s="468">
        <v>0</v>
      </c>
      <c r="I20" s="173">
        <v>25224</v>
      </c>
      <c r="J20" s="173">
        <v>53647</v>
      </c>
      <c r="K20" s="173">
        <v>8141</v>
      </c>
      <c r="L20" s="188">
        <v>3755</v>
      </c>
      <c r="M20" s="173">
        <v>9484</v>
      </c>
      <c r="N20" s="173">
        <v>5170</v>
      </c>
      <c r="O20" s="173">
        <v>1624</v>
      </c>
      <c r="P20" s="173">
        <v>10083</v>
      </c>
      <c r="Q20" s="173">
        <v>8084</v>
      </c>
      <c r="R20" s="173">
        <f t="shared" si="2"/>
        <v>431719</v>
      </c>
      <c r="S20" s="163"/>
    </row>
    <row r="21" spans="2:19" ht="18" customHeight="1">
      <c r="B21" s="163"/>
      <c r="C21" s="520" t="s">
        <v>471</v>
      </c>
      <c r="D21" s="162"/>
      <c r="E21" s="172">
        <v>0</v>
      </c>
      <c r="F21" s="173">
        <v>0</v>
      </c>
      <c r="G21" s="173">
        <v>0</v>
      </c>
      <c r="H21" s="468">
        <v>0</v>
      </c>
      <c r="I21" s="173">
        <v>0</v>
      </c>
      <c r="J21" s="173">
        <v>0</v>
      </c>
      <c r="K21" s="173">
        <v>0</v>
      </c>
      <c r="L21" s="188">
        <v>0</v>
      </c>
      <c r="M21" s="173">
        <v>0</v>
      </c>
      <c r="N21" s="173">
        <v>0</v>
      </c>
      <c r="O21" s="173">
        <v>0</v>
      </c>
      <c r="P21" s="173">
        <v>0</v>
      </c>
      <c r="Q21" s="173"/>
      <c r="R21" s="173">
        <f t="shared" si="2"/>
        <v>0</v>
      </c>
      <c r="S21" s="163"/>
    </row>
    <row r="22" spans="2:19" ht="18" customHeight="1">
      <c r="B22" s="523" t="s">
        <v>474</v>
      </c>
      <c r="C22" s="162"/>
      <c r="D22" s="162"/>
      <c r="E22" s="172"/>
      <c r="F22" s="173">
        <v>0</v>
      </c>
      <c r="G22" s="173">
        <v>0</v>
      </c>
      <c r="H22" s="468">
        <v>0</v>
      </c>
      <c r="I22" s="173">
        <v>0</v>
      </c>
      <c r="J22" s="173"/>
      <c r="K22" s="173"/>
      <c r="L22" s="188">
        <v>0</v>
      </c>
      <c r="M22" s="173">
        <v>0</v>
      </c>
      <c r="N22" s="173">
        <v>0</v>
      </c>
      <c r="O22" s="173"/>
      <c r="P22" s="173">
        <v>0</v>
      </c>
      <c r="Q22" s="173"/>
      <c r="R22" s="173">
        <f t="shared" si="2"/>
        <v>0</v>
      </c>
      <c r="S22" s="163"/>
    </row>
    <row r="23" spans="2:19" ht="18" customHeight="1">
      <c r="B23" s="187" t="s">
        <v>139</v>
      </c>
      <c r="C23" s="162"/>
      <c r="D23" s="162"/>
      <c r="E23" s="172">
        <f>E8+E16+E22</f>
        <v>30743199</v>
      </c>
      <c r="F23" s="173">
        <f>F8+F16+F22</f>
        <v>4749124</v>
      </c>
      <c r="G23" s="173">
        <f>G8+G16+G22</f>
        <v>10413290</v>
      </c>
      <c r="H23" s="468" t="s">
        <v>460</v>
      </c>
      <c r="I23" s="173">
        <f aca="true" t="shared" si="4" ref="I23:Q23">I8+I16+I22</f>
        <v>7357415</v>
      </c>
      <c r="J23" s="173">
        <f t="shared" si="4"/>
        <v>4311548</v>
      </c>
      <c r="K23" s="173">
        <f t="shared" si="4"/>
        <v>3504638</v>
      </c>
      <c r="L23" s="188">
        <f t="shared" si="4"/>
        <v>2286648</v>
      </c>
      <c r="M23" s="188">
        <f t="shared" si="4"/>
        <v>4014547</v>
      </c>
      <c r="N23" s="188">
        <f t="shared" si="4"/>
        <v>540528</v>
      </c>
      <c r="O23" s="173">
        <f t="shared" si="4"/>
        <v>1300910</v>
      </c>
      <c r="P23" s="173">
        <f t="shared" si="4"/>
        <v>554196</v>
      </c>
      <c r="Q23" s="173">
        <f t="shared" si="4"/>
        <v>7872580</v>
      </c>
      <c r="R23" s="173">
        <f>SUM(E23:Q23)</f>
        <v>77648623</v>
      </c>
      <c r="S23" s="163"/>
    </row>
    <row r="24" spans="2:19" ht="18" customHeight="1">
      <c r="B24" s="163" t="s">
        <v>140</v>
      </c>
      <c r="C24" s="162"/>
      <c r="D24" s="162"/>
      <c r="E24" s="172">
        <f>E25+E26+E27+E28+E29+E30+E31</f>
        <v>14579715</v>
      </c>
      <c r="F24" s="173">
        <f aca="true" t="shared" si="5" ref="F24:Q24">F25+F26+F27+F28+F29+F30+F31</f>
        <v>2628845</v>
      </c>
      <c r="G24" s="173">
        <f t="shared" si="5"/>
        <v>5802009</v>
      </c>
      <c r="H24" s="468">
        <f t="shared" si="5"/>
        <v>0</v>
      </c>
      <c r="I24" s="173">
        <f t="shared" si="5"/>
        <v>7090820</v>
      </c>
      <c r="J24" s="173">
        <f t="shared" si="5"/>
        <v>2765567</v>
      </c>
      <c r="K24" s="173">
        <f t="shared" si="5"/>
        <v>268350</v>
      </c>
      <c r="L24" s="188">
        <f t="shared" si="5"/>
        <v>1335152</v>
      </c>
      <c r="M24" s="173">
        <f t="shared" si="5"/>
        <v>2206996</v>
      </c>
      <c r="N24" s="173">
        <f t="shared" si="5"/>
        <v>88363</v>
      </c>
      <c r="O24" s="173">
        <f t="shared" si="5"/>
        <v>615524</v>
      </c>
      <c r="P24" s="173">
        <f t="shared" si="5"/>
        <v>290903</v>
      </c>
      <c r="Q24" s="173">
        <f t="shared" si="5"/>
        <v>2912309</v>
      </c>
      <c r="R24" s="173">
        <f>SUM(E24:Q24)</f>
        <v>40584553</v>
      </c>
      <c r="S24" s="163"/>
    </row>
    <row r="25" spans="2:19" ht="18" customHeight="1">
      <c r="B25" s="163"/>
      <c r="C25" s="520" t="s">
        <v>475</v>
      </c>
      <c r="D25" s="162"/>
      <c r="E25" s="172">
        <v>10698910</v>
      </c>
      <c r="F25" s="173">
        <v>795161</v>
      </c>
      <c r="G25" s="173">
        <v>5297591</v>
      </c>
      <c r="H25" s="468">
        <v>0</v>
      </c>
      <c r="I25" s="173">
        <v>5993045</v>
      </c>
      <c r="J25" s="173">
        <v>2765567</v>
      </c>
      <c r="K25" s="173">
        <v>268350</v>
      </c>
      <c r="L25" s="188">
        <v>1332851</v>
      </c>
      <c r="M25" s="173">
        <v>1489276</v>
      </c>
      <c r="N25" s="173">
        <v>88363</v>
      </c>
      <c r="O25" s="173">
        <v>589417</v>
      </c>
      <c r="P25" s="173">
        <v>243403</v>
      </c>
      <c r="Q25" s="173">
        <v>2861217</v>
      </c>
      <c r="R25" s="173">
        <f t="shared" si="2"/>
        <v>32423151</v>
      </c>
      <c r="S25" s="163"/>
    </row>
    <row r="26" spans="2:19" ht="18" customHeight="1">
      <c r="B26" s="163"/>
      <c r="C26" s="520" t="s">
        <v>476</v>
      </c>
      <c r="D26" s="162"/>
      <c r="E26" s="172">
        <v>0</v>
      </c>
      <c r="F26" s="173">
        <v>0</v>
      </c>
      <c r="G26" s="173">
        <v>0</v>
      </c>
      <c r="H26" s="468">
        <v>0</v>
      </c>
      <c r="I26" s="173"/>
      <c r="J26" s="173">
        <v>0</v>
      </c>
      <c r="K26" s="173">
        <v>0</v>
      </c>
      <c r="L26" s="188">
        <v>0</v>
      </c>
      <c r="M26" s="173">
        <v>0</v>
      </c>
      <c r="N26" s="173">
        <v>0</v>
      </c>
      <c r="O26" s="173"/>
      <c r="P26" s="173">
        <v>0</v>
      </c>
      <c r="Q26" s="173">
        <v>0</v>
      </c>
      <c r="R26" s="173">
        <f t="shared" si="2"/>
        <v>0</v>
      </c>
      <c r="S26" s="163"/>
    </row>
    <row r="27" spans="2:19" ht="18" customHeight="1">
      <c r="B27" s="163"/>
      <c r="C27" s="520" t="s">
        <v>477</v>
      </c>
      <c r="D27" s="162"/>
      <c r="E27" s="172">
        <v>0</v>
      </c>
      <c r="F27" s="173">
        <v>0</v>
      </c>
      <c r="G27" s="173">
        <v>0</v>
      </c>
      <c r="H27" s="468">
        <v>0</v>
      </c>
      <c r="I27" s="173"/>
      <c r="J27" s="173">
        <v>0</v>
      </c>
      <c r="K27" s="173">
        <v>0</v>
      </c>
      <c r="L27" s="188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f t="shared" si="2"/>
        <v>0</v>
      </c>
      <c r="S27" s="163"/>
    </row>
    <row r="28" spans="2:19" ht="18" customHeight="1">
      <c r="B28" s="163"/>
      <c r="C28" s="520" t="s">
        <v>478</v>
      </c>
      <c r="D28" s="162"/>
      <c r="E28" s="172">
        <v>0</v>
      </c>
      <c r="F28" s="173">
        <v>0</v>
      </c>
      <c r="G28" s="173">
        <v>0</v>
      </c>
      <c r="H28" s="468">
        <v>0</v>
      </c>
      <c r="I28" s="173">
        <v>400000</v>
      </c>
      <c r="J28" s="173">
        <v>0</v>
      </c>
      <c r="K28" s="173">
        <v>0</v>
      </c>
      <c r="L28" s="188">
        <v>0</v>
      </c>
      <c r="M28" s="173">
        <v>600000</v>
      </c>
      <c r="N28" s="173">
        <v>0</v>
      </c>
      <c r="O28" s="173">
        <v>0</v>
      </c>
      <c r="P28" s="173">
        <v>47500</v>
      </c>
      <c r="Q28" s="173">
        <v>0</v>
      </c>
      <c r="R28" s="173">
        <f t="shared" si="2"/>
        <v>1047500</v>
      </c>
      <c r="S28" s="163"/>
    </row>
    <row r="29" spans="2:19" ht="18" customHeight="1">
      <c r="B29" s="163"/>
      <c r="C29" s="520" t="s">
        <v>479</v>
      </c>
      <c r="D29" s="162"/>
      <c r="E29" s="172">
        <v>3842249</v>
      </c>
      <c r="F29" s="173">
        <v>1833684</v>
      </c>
      <c r="G29" s="173">
        <v>410798</v>
      </c>
      <c r="H29" s="468">
        <v>0</v>
      </c>
      <c r="I29" s="173">
        <v>677931</v>
      </c>
      <c r="J29" s="173">
        <v>0</v>
      </c>
      <c r="K29" s="173">
        <v>0</v>
      </c>
      <c r="L29" s="188">
        <v>0</v>
      </c>
      <c r="M29" s="173">
        <v>117720</v>
      </c>
      <c r="N29" s="173">
        <v>0</v>
      </c>
      <c r="O29" s="173">
        <v>26107</v>
      </c>
      <c r="P29" s="173">
        <v>0</v>
      </c>
      <c r="Q29" s="173">
        <v>44931</v>
      </c>
      <c r="R29" s="173">
        <f t="shared" si="2"/>
        <v>6953420</v>
      </c>
      <c r="S29" s="163"/>
    </row>
    <row r="30" spans="2:19" ht="18" customHeight="1">
      <c r="B30" s="163"/>
      <c r="C30" s="520" t="s">
        <v>480</v>
      </c>
      <c r="D30" s="162"/>
      <c r="E30" s="172">
        <v>38556</v>
      </c>
      <c r="F30" s="173"/>
      <c r="G30" s="173">
        <v>93620</v>
      </c>
      <c r="H30" s="468"/>
      <c r="I30" s="173">
        <v>19844</v>
      </c>
      <c r="J30" s="173"/>
      <c r="K30" s="173"/>
      <c r="L30" s="188">
        <v>2301</v>
      </c>
      <c r="M30" s="173"/>
      <c r="N30" s="173"/>
      <c r="O30" s="173"/>
      <c r="P30" s="173"/>
      <c r="Q30" s="173">
        <v>6161</v>
      </c>
      <c r="R30" s="173">
        <f t="shared" si="2"/>
        <v>160482</v>
      </c>
      <c r="S30" s="163"/>
    </row>
    <row r="31" spans="2:19" ht="18" customHeight="1">
      <c r="B31" s="187"/>
      <c r="C31" s="162" t="s">
        <v>141</v>
      </c>
      <c r="D31" s="162"/>
      <c r="E31" s="172">
        <v>0</v>
      </c>
      <c r="F31" s="173">
        <v>0</v>
      </c>
      <c r="G31" s="173">
        <v>0</v>
      </c>
      <c r="H31" s="468">
        <v>0</v>
      </c>
      <c r="I31" s="173">
        <v>0</v>
      </c>
      <c r="J31" s="173">
        <v>0</v>
      </c>
      <c r="K31" s="173">
        <v>0</v>
      </c>
      <c r="L31" s="188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f t="shared" si="2"/>
        <v>0</v>
      </c>
      <c r="S31" s="163"/>
    </row>
    <row r="32" spans="2:19" ht="18" customHeight="1">
      <c r="B32" s="161" t="s">
        <v>287</v>
      </c>
      <c r="C32" s="162"/>
      <c r="D32" s="162"/>
      <c r="E32" s="172">
        <f>SUM(E33:E41)</f>
        <v>2420091</v>
      </c>
      <c r="F32" s="173">
        <f aca="true" t="shared" si="6" ref="F32:Q32">SUM(F33:F41)</f>
        <v>1271572</v>
      </c>
      <c r="G32" s="173">
        <f t="shared" si="6"/>
        <v>1528180</v>
      </c>
      <c r="H32" s="468">
        <f t="shared" si="6"/>
        <v>0</v>
      </c>
      <c r="I32" s="173">
        <f t="shared" si="6"/>
        <v>2067609</v>
      </c>
      <c r="J32" s="173">
        <f t="shared" si="6"/>
        <v>989253</v>
      </c>
      <c r="K32" s="173">
        <f t="shared" si="6"/>
        <v>227393</v>
      </c>
      <c r="L32" s="188">
        <f t="shared" si="6"/>
        <v>371525</v>
      </c>
      <c r="M32" s="173">
        <f t="shared" si="6"/>
        <v>730337</v>
      </c>
      <c r="N32" s="173">
        <f t="shared" si="6"/>
        <v>35553</v>
      </c>
      <c r="O32" s="173">
        <f t="shared" si="6"/>
        <v>77660</v>
      </c>
      <c r="P32" s="173">
        <f t="shared" si="6"/>
        <v>99015</v>
      </c>
      <c r="Q32" s="173">
        <f t="shared" si="6"/>
        <v>1077081</v>
      </c>
      <c r="R32" s="173">
        <f t="shared" si="2"/>
        <v>10895269</v>
      </c>
      <c r="S32" s="163"/>
    </row>
    <row r="33" spans="2:19" ht="18" customHeight="1">
      <c r="B33" s="163"/>
      <c r="C33" s="520" t="s">
        <v>475</v>
      </c>
      <c r="D33" s="162"/>
      <c r="E33" s="172">
        <v>600907</v>
      </c>
      <c r="F33" s="173">
        <v>138745</v>
      </c>
      <c r="G33" s="173">
        <v>728287</v>
      </c>
      <c r="H33" s="468">
        <v>0</v>
      </c>
      <c r="I33" s="173">
        <v>616923</v>
      </c>
      <c r="J33" s="173">
        <v>341809</v>
      </c>
      <c r="K33" s="173">
        <v>59154</v>
      </c>
      <c r="L33" s="188">
        <v>92535</v>
      </c>
      <c r="M33" s="173">
        <v>252000</v>
      </c>
      <c r="N33" s="173">
        <v>16326</v>
      </c>
      <c r="O33" s="173">
        <v>27193</v>
      </c>
      <c r="P33" s="173">
        <v>27252</v>
      </c>
      <c r="Q33" s="173">
        <v>279332</v>
      </c>
      <c r="R33" s="173">
        <f t="shared" si="2"/>
        <v>3180463</v>
      </c>
      <c r="S33" s="163"/>
    </row>
    <row r="34" spans="2:19" ht="18" customHeight="1">
      <c r="B34" s="163"/>
      <c r="C34" s="520" t="s">
        <v>476</v>
      </c>
      <c r="D34" s="162"/>
      <c r="E34" s="172"/>
      <c r="F34" s="173"/>
      <c r="G34" s="173"/>
      <c r="H34" s="468"/>
      <c r="I34" s="173">
        <v>98636</v>
      </c>
      <c r="J34" s="173"/>
      <c r="K34" s="173"/>
      <c r="L34" s="188"/>
      <c r="M34" s="173"/>
      <c r="N34" s="173"/>
      <c r="O34" s="173"/>
      <c r="P34" s="173"/>
      <c r="Q34" s="173"/>
      <c r="R34" s="173">
        <f t="shared" si="2"/>
        <v>98636</v>
      </c>
      <c r="S34" s="163"/>
    </row>
    <row r="35" spans="2:19" ht="18" customHeight="1">
      <c r="B35" s="163"/>
      <c r="C35" s="520" t="s">
        <v>477</v>
      </c>
      <c r="D35" s="162"/>
      <c r="E35" s="172"/>
      <c r="F35" s="173"/>
      <c r="G35" s="173"/>
      <c r="H35" s="468"/>
      <c r="I35" s="173"/>
      <c r="J35" s="173"/>
      <c r="K35" s="173"/>
      <c r="L35" s="188"/>
      <c r="M35" s="173"/>
      <c r="N35" s="173"/>
      <c r="O35" s="173"/>
      <c r="P35" s="173"/>
      <c r="Q35" s="173"/>
      <c r="R35" s="173">
        <f t="shared" si="2"/>
        <v>0</v>
      </c>
      <c r="S35" s="163"/>
    </row>
    <row r="36" spans="2:19" ht="18" customHeight="1">
      <c r="B36" s="163"/>
      <c r="C36" s="520" t="s">
        <v>478</v>
      </c>
      <c r="D36" s="162"/>
      <c r="E36" s="172">
        <v>0</v>
      </c>
      <c r="F36" s="173"/>
      <c r="G36" s="173">
        <v>0</v>
      </c>
      <c r="H36" s="468">
        <v>0</v>
      </c>
      <c r="I36" s="173">
        <v>100000</v>
      </c>
      <c r="J36" s="173"/>
      <c r="K36" s="173">
        <v>0</v>
      </c>
      <c r="L36" s="188"/>
      <c r="M36" s="173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f t="shared" si="2"/>
        <v>100000</v>
      </c>
      <c r="S36" s="163"/>
    </row>
    <row r="37" spans="2:19" ht="18" customHeight="1">
      <c r="B37" s="163"/>
      <c r="C37" s="520" t="s">
        <v>479</v>
      </c>
      <c r="D37" s="162"/>
      <c r="E37" s="172">
        <v>425057</v>
      </c>
      <c r="F37" s="173">
        <v>200499</v>
      </c>
      <c r="G37" s="173">
        <v>183090</v>
      </c>
      <c r="H37" s="468">
        <v>0</v>
      </c>
      <c r="I37" s="173">
        <v>144384</v>
      </c>
      <c r="J37" s="173">
        <v>117797</v>
      </c>
      <c r="K37" s="173">
        <v>49500</v>
      </c>
      <c r="L37" s="188">
        <v>47764</v>
      </c>
      <c r="M37" s="173">
        <v>113869</v>
      </c>
      <c r="N37" s="173">
        <v>18138</v>
      </c>
      <c r="O37" s="173">
        <v>19838</v>
      </c>
      <c r="P37" s="173">
        <v>22293</v>
      </c>
      <c r="Q37" s="173">
        <v>162514</v>
      </c>
      <c r="R37" s="173">
        <f t="shared" si="2"/>
        <v>1504743</v>
      </c>
      <c r="S37" s="163"/>
    </row>
    <row r="38" spans="2:19" ht="18" customHeight="1">
      <c r="B38" s="163"/>
      <c r="C38" s="520" t="s">
        <v>480</v>
      </c>
      <c r="D38" s="162"/>
      <c r="E38" s="172">
        <v>33952</v>
      </c>
      <c r="F38" s="173">
        <v>11877</v>
      </c>
      <c r="G38" s="173">
        <v>55996</v>
      </c>
      <c r="H38" s="468"/>
      <c r="I38" s="173">
        <v>7379</v>
      </c>
      <c r="J38" s="173"/>
      <c r="K38" s="173"/>
      <c r="L38" s="188">
        <v>104</v>
      </c>
      <c r="M38" s="173"/>
      <c r="N38" s="173"/>
      <c r="O38" s="173"/>
      <c r="P38" s="173"/>
      <c r="Q38" s="173">
        <v>2054</v>
      </c>
      <c r="R38" s="173">
        <f t="shared" si="2"/>
        <v>111362</v>
      </c>
      <c r="S38" s="163"/>
    </row>
    <row r="39" spans="2:19" ht="18" customHeight="1">
      <c r="B39" s="163"/>
      <c r="C39" s="520" t="s">
        <v>481</v>
      </c>
      <c r="D39" s="162"/>
      <c r="E39" s="172">
        <v>0</v>
      </c>
      <c r="F39" s="173">
        <v>350000</v>
      </c>
      <c r="G39" s="173">
        <v>0</v>
      </c>
      <c r="H39" s="468">
        <v>0</v>
      </c>
      <c r="I39" s="173">
        <v>800000</v>
      </c>
      <c r="J39" s="173">
        <v>270000</v>
      </c>
      <c r="K39" s="173">
        <v>0</v>
      </c>
      <c r="L39" s="188"/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f>SUM(E39:Q39)</f>
        <v>1420000</v>
      </c>
      <c r="S39" s="163"/>
    </row>
    <row r="40" spans="2:19" ht="18" customHeight="1">
      <c r="B40" s="163"/>
      <c r="C40" s="520" t="s">
        <v>482</v>
      </c>
      <c r="D40" s="162"/>
      <c r="E40" s="172">
        <v>1213315</v>
      </c>
      <c r="F40" s="173">
        <v>569287</v>
      </c>
      <c r="G40" s="173">
        <v>536055</v>
      </c>
      <c r="H40" s="468">
        <v>0</v>
      </c>
      <c r="I40" s="173">
        <v>287317</v>
      </c>
      <c r="J40" s="173">
        <v>234491</v>
      </c>
      <c r="K40" s="173">
        <v>117542</v>
      </c>
      <c r="L40" s="188">
        <v>226712</v>
      </c>
      <c r="M40" s="173">
        <v>364018</v>
      </c>
      <c r="N40" s="173">
        <v>1089</v>
      </c>
      <c r="O40" s="173">
        <v>30327</v>
      </c>
      <c r="P40" s="173">
        <v>44948</v>
      </c>
      <c r="Q40" s="173">
        <v>619411</v>
      </c>
      <c r="R40" s="173">
        <f t="shared" si="2"/>
        <v>4244512</v>
      </c>
      <c r="S40" s="163"/>
    </row>
    <row r="41" spans="2:19" ht="18" customHeight="1">
      <c r="B41" s="187"/>
      <c r="C41" s="520" t="s">
        <v>483</v>
      </c>
      <c r="D41" s="162"/>
      <c r="E41" s="172">
        <v>146860</v>
      </c>
      <c r="F41" s="173">
        <v>1164</v>
      </c>
      <c r="G41" s="173">
        <v>24752</v>
      </c>
      <c r="H41" s="468">
        <v>0</v>
      </c>
      <c r="I41" s="173">
        <v>12970</v>
      </c>
      <c r="J41" s="173">
        <v>25156</v>
      </c>
      <c r="K41" s="173">
        <v>1197</v>
      </c>
      <c r="L41" s="188">
        <v>4410</v>
      </c>
      <c r="M41" s="173">
        <v>450</v>
      </c>
      <c r="N41" s="173"/>
      <c r="O41" s="173">
        <v>302</v>
      </c>
      <c r="P41" s="173">
        <v>4522</v>
      </c>
      <c r="Q41" s="173">
        <v>13770</v>
      </c>
      <c r="R41" s="173">
        <f t="shared" si="2"/>
        <v>235553</v>
      </c>
      <c r="S41" s="163"/>
    </row>
    <row r="42" spans="2:19" ht="18" customHeight="1">
      <c r="B42" s="524" t="s">
        <v>484</v>
      </c>
      <c r="C42" s="162"/>
      <c r="D42" s="162"/>
      <c r="E42" s="172">
        <f aca="true" t="shared" si="7" ref="E42:Q42">E43-E44</f>
        <v>162077</v>
      </c>
      <c r="F42" s="173">
        <f t="shared" si="7"/>
        <v>856600</v>
      </c>
      <c r="G42" s="173">
        <f t="shared" si="7"/>
        <v>1504872</v>
      </c>
      <c r="H42" s="468">
        <f t="shared" si="7"/>
        <v>0</v>
      </c>
      <c r="I42" s="173">
        <f t="shared" si="7"/>
        <v>773287</v>
      </c>
      <c r="J42" s="173">
        <f t="shared" si="7"/>
        <v>366631</v>
      </c>
      <c r="K42" s="173">
        <f t="shared" si="7"/>
        <v>3390</v>
      </c>
      <c r="L42" s="173">
        <f t="shared" si="7"/>
        <v>711918</v>
      </c>
      <c r="M42" s="173">
        <f t="shared" si="7"/>
        <v>590592</v>
      </c>
      <c r="N42" s="173">
        <f t="shared" si="7"/>
        <v>114551</v>
      </c>
      <c r="O42" s="173">
        <f t="shared" si="7"/>
        <v>156213</v>
      </c>
      <c r="P42" s="173">
        <f t="shared" si="7"/>
        <v>79089</v>
      </c>
      <c r="Q42" s="173">
        <f t="shared" si="7"/>
        <v>1317914</v>
      </c>
      <c r="R42" s="173">
        <f>SUM(E42:Q42)</f>
        <v>6637134</v>
      </c>
      <c r="S42" s="163"/>
    </row>
    <row r="43" spans="2:19" ht="18" customHeight="1">
      <c r="B43" s="163"/>
      <c r="C43" s="520" t="s">
        <v>485</v>
      </c>
      <c r="D43" s="162"/>
      <c r="E43" s="172">
        <v>815821</v>
      </c>
      <c r="F43" s="173">
        <v>4331456</v>
      </c>
      <c r="G43" s="173">
        <v>4254423</v>
      </c>
      <c r="H43" s="468">
        <v>0</v>
      </c>
      <c r="I43" s="173">
        <v>2056821</v>
      </c>
      <c r="J43" s="173">
        <v>2822977</v>
      </c>
      <c r="K43" s="173">
        <v>7928</v>
      </c>
      <c r="L43" s="188">
        <v>832506</v>
      </c>
      <c r="M43" s="173">
        <v>3503905</v>
      </c>
      <c r="N43" s="173">
        <v>330511</v>
      </c>
      <c r="O43" s="173">
        <v>214051</v>
      </c>
      <c r="P43" s="173">
        <v>238708</v>
      </c>
      <c r="Q43" s="173">
        <v>4107936</v>
      </c>
      <c r="R43" s="173">
        <f>SUM(E43:Q43)</f>
        <v>23517043</v>
      </c>
      <c r="S43" s="163"/>
    </row>
    <row r="44" spans="2:19" ht="18" customHeight="1">
      <c r="B44" s="163"/>
      <c r="C44" s="520" t="s">
        <v>486</v>
      </c>
      <c r="D44" s="162"/>
      <c r="E44" s="172">
        <v>653744</v>
      </c>
      <c r="F44" s="173">
        <v>3474856</v>
      </c>
      <c r="G44" s="173">
        <v>2749551</v>
      </c>
      <c r="H44" s="468"/>
      <c r="I44" s="173">
        <v>1283534</v>
      </c>
      <c r="J44" s="173">
        <v>2456346</v>
      </c>
      <c r="K44" s="173">
        <v>4538</v>
      </c>
      <c r="L44" s="188">
        <v>120588</v>
      </c>
      <c r="M44" s="173">
        <v>2913313</v>
      </c>
      <c r="N44" s="173">
        <v>215960</v>
      </c>
      <c r="O44" s="173">
        <v>57838</v>
      </c>
      <c r="P44" s="173">
        <v>159619</v>
      </c>
      <c r="Q44" s="173">
        <v>2790022</v>
      </c>
      <c r="R44" s="173">
        <f>SUM(E44:Q44)</f>
        <v>16879909</v>
      </c>
      <c r="S44" s="163"/>
    </row>
    <row r="45" spans="2:19" ht="18" customHeight="1">
      <c r="B45" s="523" t="s">
        <v>487</v>
      </c>
      <c r="C45" s="162"/>
      <c r="D45" s="162"/>
      <c r="E45" s="172">
        <f>E24+E32+E42</f>
        <v>17161883</v>
      </c>
      <c r="F45" s="173">
        <f aca="true" t="shared" si="8" ref="F45:Q45">F24+F32+F42</f>
        <v>4757017</v>
      </c>
      <c r="G45" s="173">
        <f t="shared" si="8"/>
        <v>8835061</v>
      </c>
      <c r="H45" s="468">
        <f t="shared" si="8"/>
        <v>0</v>
      </c>
      <c r="I45" s="173">
        <f t="shared" si="8"/>
        <v>9931716</v>
      </c>
      <c r="J45" s="173">
        <f t="shared" si="8"/>
        <v>4121451</v>
      </c>
      <c r="K45" s="173">
        <f t="shared" si="8"/>
        <v>499133</v>
      </c>
      <c r="L45" s="188">
        <f t="shared" si="8"/>
        <v>2418595</v>
      </c>
      <c r="M45" s="173">
        <f t="shared" si="8"/>
        <v>3527925</v>
      </c>
      <c r="N45" s="173">
        <f t="shared" si="8"/>
        <v>238467</v>
      </c>
      <c r="O45" s="173">
        <f t="shared" si="8"/>
        <v>849397</v>
      </c>
      <c r="P45" s="173">
        <f t="shared" si="8"/>
        <v>469007</v>
      </c>
      <c r="Q45" s="173">
        <f t="shared" si="8"/>
        <v>5307304</v>
      </c>
      <c r="R45" s="173">
        <f>SUM(E45:Q45)</f>
        <v>58116956</v>
      </c>
      <c r="S45" s="163"/>
    </row>
    <row r="46" spans="2:19" ht="18" customHeight="1">
      <c r="B46" s="163" t="s">
        <v>142</v>
      </c>
      <c r="C46" s="162"/>
      <c r="D46" s="162"/>
      <c r="E46" s="172">
        <f>SUM(E47:E50)</f>
        <v>16317954</v>
      </c>
      <c r="F46" s="173">
        <f aca="true" t="shared" si="9" ref="F46:Q46">SUM(F47:F50)</f>
        <v>560218</v>
      </c>
      <c r="G46" s="173">
        <f t="shared" si="9"/>
        <v>5937816</v>
      </c>
      <c r="H46" s="468">
        <f t="shared" si="9"/>
        <v>0</v>
      </c>
      <c r="I46" s="173">
        <f t="shared" si="9"/>
        <v>6418155</v>
      </c>
      <c r="J46" s="173">
        <f t="shared" si="9"/>
        <v>200856</v>
      </c>
      <c r="K46" s="173">
        <f t="shared" si="9"/>
        <v>3454523</v>
      </c>
      <c r="L46" s="188">
        <f t="shared" si="9"/>
        <v>350796</v>
      </c>
      <c r="M46" s="173">
        <f t="shared" si="9"/>
        <v>168333</v>
      </c>
      <c r="N46" s="173">
        <f t="shared" si="9"/>
        <v>6224</v>
      </c>
      <c r="O46" s="173">
        <f t="shared" si="9"/>
        <v>15863</v>
      </c>
      <c r="P46" s="173">
        <f t="shared" si="9"/>
        <v>9110</v>
      </c>
      <c r="Q46" s="173">
        <f t="shared" si="9"/>
        <v>906775</v>
      </c>
      <c r="R46" s="173">
        <f t="shared" si="2"/>
        <v>34346623</v>
      </c>
      <c r="S46" s="163"/>
    </row>
    <row r="47" spans="2:19" ht="18" customHeight="1">
      <c r="B47" s="163"/>
      <c r="D47" s="176" t="s">
        <v>143</v>
      </c>
      <c r="E47" s="190">
        <v>110619</v>
      </c>
      <c r="F47" s="191">
        <v>78266</v>
      </c>
      <c r="G47" s="191">
        <v>40021</v>
      </c>
      <c r="H47" s="469">
        <v>0</v>
      </c>
      <c r="I47" s="191">
        <v>257318</v>
      </c>
      <c r="J47" s="191">
        <v>5586</v>
      </c>
      <c r="K47" s="191">
        <v>2908028</v>
      </c>
      <c r="L47" s="181">
        <v>55585</v>
      </c>
      <c r="M47" s="191">
        <v>49204</v>
      </c>
      <c r="N47" s="191">
        <v>6224</v>
      </c>
      <c r="O47" s="191">
        <v>15863</v>
      </c>
      <c r="P47" s="191">
        <v>9110</v>
      </c>
      <c r="Q47" s="191">
        <v>47194</v>
      </c>
      <c r="R47" s="191">
        <f t="shared" si="2"/>
        <v>3583018</v>
      </c>
      <c r="S47" s="163"/>
    </row>
    <row r="48" spans="2:19" ht="18" customHeight="1">
      <c r="B48" s="163"/>
      <c r="D48" s="176" t="s">
        <v>144</v>
      </c>
      <c r="E48" s="190">
        <v>0</v>
      </c>
      <c r="F48" s="191">
        <v>0</v>
      </c>
      <c r="G48" s="191">
        <v>0</v>
      </c>
      <c r="H48" s="469">
        <v>0</v>
      </c>
      <c r="I48" s="191">
        <v>0</v>
      </c>
      <c r="J48" s="191">
        <v>0</v>
      </c>
      <c r="K48" s="191">
        <v>0</v>
      </c>
      <c r="L48" s="181">
        <v>0</v>
      </c>
      <c r="M48" s="191">
        <v>0</v>
      </c>
      <c r="N48" s="191">
        <v>0</v>
      </c>
      <c r="O48" s="191">
        <v>0</v>
      </c>
      <c r="P48" s="191">
        <v>0</v>
      </c>
      <c r="Q48" s="191">
        <v>28</v>
      </c>
      <c r="R48" s="191">
        <f t="shared" si="2"/>
        <v>28</v>
      </c>
      <c r="S48" s="163"/>
    </row>
    <row r="49" spans="2:19" ht="18" customHeight="1">
      <c r="B49" s="163"/>
      <c r="D49" s="176" t="s">
        <v>145</v>
      </c>
      <c r="E49" s="190">
        <v>16161035</v>
      </c>
      <c r="F49" s="191">
        <v>325900</v>
      </c>
      <c r="G49" s="191">
        <v>5844903</v>
      </c>
      <c r="H49" s="469">
        <v>0</v>
      </c>
      <c r="I49" s="191">
        <v>6151350</v>
      </c>
      <c r="J49" s="191">
        <v>195070</v>
      </c>
      <c r="K49" s="191">
        <v>459206</v>
      </c>
      <c r="L49" s="181">
        <v>293011</v>
      </c>
      <c r="M49" s="191">
        <v>19129</v>
      </c>
      <c r="N49" s="191">
        <v>0</v>
      </c>
      <c r="O49" s="191">
        <v>0</v>
      </c>
      <c r="P49" s="191">
        <v>0</v>
      </c>
      <c r="Q49" s="191">
        <v>705059</v>
      </c>
      <c r="R49" s="191">
        <f t="shared" si="2"/>
        <v>30154663</v>
      </c>
      <c r="S49" s="163"/>
    </row>
    <row r="50" spans="2:19" ht="18" customHeight="1">
      <c r="B50" s="163"/>
      <c r="C50" s="162"/>
      <c r="D50" s="162" t="s">
        <v>146</v>
      </c>
      <c r="E50" s="172">
        <v>46300</v>
      </c>
      <c r="F50" s="173">
        <v>156052</v>
      </c>
      <c r="G50" s="173">
        <v>52892</v>
      </c>
      <c r="H50" s="468">
        <v>0</v>
      </c>
      <c r="I50" s="173">
        <v>9487</v>
      </c>
      <c r="J50" s="173">
        <v>200</v>
      </c>
      <c r="K50" s="173">
        <v>87289</v>
      </c>
      <c r="L50" s="185">
        <v>2200</v>
      </c>
      <c r="M50" s="173">
        <v>100000</v>
      </c>
      <c r="N50" s="173">
        <v>0</v>
      </c>
      <c r="O50" s="173">
        <v>0</v>
      </c>
      <c r="P50" s="173">
        <v>0</v>
      </c>
      <c r="Q50" s="173">
        <v>154494</v>
      </c>
      <c r="R50" s="173">
        <f aca="true" t="shared" si="10" ref="R50:R68">SUM(E50:Q50)</f>
        <v>608914</v>
      </c>
      <c r="S50" s="163"/>
    </row>
    <row r="51" spans="2:19" ht="18" customHeight="1">
      <c r="B51" s="161" t="s">
        <v>288</v>
      </c>
      <c r="C51" s="162"/>
      <c r="D51" s="162"/>
      <c r="E51" s="172">
        <f>E52+E58</f>
        <v>-2736638</v>
      </c>
      <c r="F51" s="173">
        <f aca="true" t="shared" si="11" ref="F51:Q51">F52+F58</f>
        <v>-568111</v>
      </c>
      <c r="G51" s="173">
        <f t="shared" si="11"/>
        <v>-4359587</v>
      </c>
      <c r="H51" s="468" t="s">
        <v>460</v>
      </c>
      <c r="I51" s="173">
        <f t="shared" si="11"/>
        <v>-8992456</v>
      </c>
      <c r="J51" s="173">
        <f t="shared" si="11"/>
        <v>-10759</v>
      </c>
      <c r="K51" s="173">
        <f t="shared" si="11"/>
        <v>-449018</v>
      </c>
      <c r="L51" s="188">
        <f t="shared" si="11"/>
        <v>-482743</v>
      </c>
      <c r="M51" s="173">
        <f t="shared" si="11"/>
        <v>318289</v>
      </c>
      <c r="N51" s="173">
        <f t="shared" si="11"/>
        <v>295837</v>
      </c>
      <c r="O51" s="173">
        <f t="shared" si="11"/>
        <v>435650</v>
      </c>
      <c r="P51" s="173">
        <f t="shared" si="11"/>
        <v>76079</v>
      </c>
      <c r="Q51" s="173">
        <f t="shared" si="11"/>
        <v>1658501</v>
      </c>
      <c r="R51" s="173">
        <f t="shared" si="10"/>
        <v>-14814956</v>
      </c>
      <c r="S51" s="163"/>
    </row>
    <row r="52" spans="2:19" ht="18" customHeight="1">
      <c r="B52" s="163"/>
      <c r="C52" s="175" t="s">
        <v>289</v>
      </c>
      <c r="D52" s="176"/>
      <c r="E52" s="190">
        <f>E53+E54+E55+E56+E57</f>
        <v>0</v>
      </c>
      <c r="F52" s="191">
        <f aca="true" t="shared" si="12" ref="F52:Q52">F53+F54+F55+F56+F57</f>
        <v>1540120</v>
      </c>
      <c r="G52" s="191">
        <f t="shared" si="12"/>
        <v>18842</v>
      </c>
      <c r="H52" s="469" t="s">
        <v>460</v>
      </c>
      <c r="I52" s="191">
        <f t="shared" si="12"/>
        <v>329183</v>
      </c>
      <c r="J52" s="191">
        <f t="shared" si="12"/>
        <v>2763699</v>
      </c>
      <c r="K52" s="191">
        <v>17778</v>
      </c>
      <c r="L52" s="178">
        <f t="shared" si="12"/>
        <v>297364</v>
      </c>
      <c r="M52" s="191">
        <f t="shared" si="12"/>
        <v>1085633</v>
      </c>
      <c r="N52" s="191">
        <f t="shared" si="12"/>
        <v>317012</v>
      </c>
      <c r="O52" s="191">
        <f t="shared" si="12"/>
        <v>431711</v>
      </c>
      <c r="P52" s="191">
        <f t="shared" si="12"/>
        <v>962668</v>
      </c>
      <c r="Q52" s="191">
        <f t="shared" si="12"/>
        <v>121882</v>
      </c>
      <c r="R52" s="191">
        <f t="shared" si="10"/>
        <v>7885892</v>
      </c>
      <c r="S52" s="163"/>
    </row>
    <row r="53" spans="2:19" ht="18" customHeight="1">
      <c r="B53" s="163"/>
      <c r="D53" s="176" t="s">
        <v>147</v>
      </c>
      <c r="E53" s="190">
        <v>0</v>
      </c>
      <c r="F53" s="191">
        <v>46876</v>
      </c>
      <c r="G53" s="191"/>
      <c r="H53" s="469">
        <v>0</v>
      </c>
      <c r="I53" s="191">
        <v>0</v>
      </c>
      <c r="J53" s="191">
        <v>132360</v>
      </c>
      <c r="K53" s="191">
        <v>15983</v>
      </c>
      <c r="L53" s="181"/>
      <c r="M53" s="191">
        <v>90093</v>
      </c>
      <c r="N53" s="191">
        <v>43197</v>
      </c>
      <c r="O53" s="191"/>
      <c r="P53" s="191">
        <v>104377</v>
      </c>
      <c r="Q53" s="191">
        <v>212</v>
      </c>
      <c r="R53" s="191">
        <f t="shared" si="10"/>
        <v>433098</v>
      </c>
      <c r="S53" s="163"/>
    </row>
    <row r="54" spans="2:19" ht="18" customHeight="1">
      <c r="B54" s="163"/>
      <c r="D54" s="192" t="s">
        <v>264</v>
      </c>
      <c r="E54" s="190">
        <v>0</v>
      </c>
      <c r="F54" s="191">
        <v>2008</v>
      </c>
      <c r="G54" s="191"/>
      <c r="H54" s="469">
        <v>0</v>
      </c>
      <c r="I54" s="191">
        <v>52248</v>
      </c>
      <c r="J54" s="191">
        <v>34604</v>
      </c>
      <c r="K54" s="191">
        <v>0</v>
      </c>
      <c r="L54" s="181">
        <v>0</v>
      </c>
      <c r="M54" s="191"/>
      <c r="N54" s="191">
        <v>18898</v>
      </c>
      <c r="O54" s="191">
        <v>0</v>
      </c>
      <c r="P54" s="191">
        <v>43500</v>
      </c>
      <c r="Q54" s="191">
        <v>2697</v>
      </c>
      <c r="R54" s="191">
        <f t="shared" si="10"/>
        <v>153955</v>
      </c>
      <c r="S54" s="163"/>
    </row>
    <row r="55" spans="2:19" ht="18" customHeight="1">
      <c r="B55" s="163"/>
      <c r="D55" s="176" t="s">
        <v>148</v>
      </c>
      <c r="E55" s="190">
        <v>0</v>
      </c>
      <c r="F55" s="191">
        <v>53395</v>
      </c>
      <c r="G55" s="191">
        <v>0</v>
      </c>
      <c r="H55" s="469">
        <v>0</v>
      </c>
      <c r="I55" s="191">
        <v>0</v>
      </c>
      <c r="J55" s="191">
        <v>0</v>
      </c>
      <c r="K55" s="191">
        <v>0</v>
      </c>
      <c r="L55" s="181">
        <v>0</v>
      </c>
      <c r="M55" s="191">
        <v>0</v>
      </c>
      <c r="N55" s="191">
        <v>0</v>
      </c>
      <c r="O55" s="191">
        <v>0</v>
      </c>
      <c r="P55" s="191">
        <v>0</v>
      </c>
      <c r="Q55" s="191">
        <v>0</v>
      </c>
      <c r="R55" s="191">
        <f t="shared" si="10"/>
        <v>53395</v>
      </c>
      <c r="S55" s="163"/>
    </row>
    <row r="56" spans="2:19" ht="18" customHeight="1">
      <c r="B56" s="163"/>
      <c r="D56" s="176" t="s">
        <v>149</v>
      </c>
      <c r="E56" s="190">
        <v>0</v>
      </c>
      <c r="F56" s="191">
        <v>0</v>
      </c>
      <c r="G56" s="191">
        <v>0</v>
      </c>
      <c r="H56" s="469">
        <v>0</v>
      </c>
      <c r="I56" s="191">
        <v>0</v>
      </c>
      <c r="J56" s="191">
        <v>0</v>
      </c>
      <c r="K56" s="191">
        <v>0</v>
      </c>
      <c r="L56" s="181">
        <v>0</v>
      </c>
      <c r="M56" s="191">
        <v>0</v>
      </c>
      <c r="N56" s="191">
        <v>0</v>
      </c>
      <c r="O56" s="191">
        <v>0</v>
      </c>
      <c r="P56" s="191">
        <v>0</v>
      </c>
      <c r="Q56" s="191">
        <v>0</v>
      </c>
      <c r="R56" s="191">
        <f t="shared" si="10"/>
        <v>0</v>
      </c>
      <c r="S56" s="163"/>
    </row>
    <row r="57" spans="2:19" ht="18" customHeight="1">
      <c r="B57" s="163"/>
      <c r="C57" s="162"/>
      <c r="D57" s="162" t="s">
        <v>150</v>
      </c>
      <c r="E57" s="172">
        <v>0</v>
      </c>
      <c r="F57" s="173">
        <v>1437841</v>
      </c>
      <c r="G57" s="173">
        <v>18842</v>
      </c>
      <c r="H57" s="468">
        <v>0</v>
      </c>
      <c r="I57" s="173">
        <v>276935</v>
      </c>
      <c r="J57" s="173">
        <v>2596735</v>
      </c>
      <c r="K57" s="173">
        <v>1795</v>
      </c>
      <c r="L57" s="185">
        <v>297364</v>
      </c>
      <c r="M57" s="173">
        <v>995540</v>
      </c>
      <c r="N57" s="173">
        <v>254917</v>
      </c>
      <c r="O57" s="173">
        <v>431711</v>
      </c>
      <c r="P57" s="173">
        <v>814791</v>
      </c>
      <c r="Q57" s="173">
        <v>118973</v>
      </c>
      <c r="R57" s="173">
        <f t="shared" si="10"/>
        <v>7245444</v>
      </c>
      <c r="S57" s="163"/>
    </row>
    <row r="58" spans="2:19" ht="18" customHeight="1">
      <c r="B58" s="163"/>
      <c r="C58" s="175" t="s">
        <v>290</v>
      </c>
      <c r="D58" s="176"/>
      <c r="E58" s="190">
        <f>E59+E60+E61+E62+E63-E64</f>
        <v>-2736638</v>
      </c>
      <c r="F58" s="191">
        <f aca="true" t="shared" si="13" ref="F58:Q58">F59+F60+F61+F62+F63-F64</f>
        <v>-2108231</v>
      </c>
      <c r="G58" s="191">
        <f t="shared" si="13"/>
        <v>-4378429</v>
      </c>
      <c r="H58" s="469" t="s">
        <v>460</v>
      </c>
      <c r="I58" s="191">
        <f t="shared" si="13"/>
        <v>-9321639</v>
      </c>
      <c r="J58" s="191">
        <f t="shared" si="13"/>
        <v>-2774458</v>
      </c>
      <c r="K58" s="191">
        <f t="shared" si="13"/>
        <v>-466796</v>
      </c>
      <c r="L58" s="178">
        <f t="shared" si="13"/>
        <v>-780107</v>
      </c>
      <c r="M58" s="191">
        <f t="shared" si="13"/>
        <v>-767344</v>
      </c>
      <c r="N58" s="191">
        <f t="shared" si="13"/>
        <v>-21175</v>
      </c>
      <c r="O58" s="191">
        <f t="shared" si="13"/>
        <v>3939</v>
      </c>
      <c r="P58" s="191">
        <f t="shared" si="13"/>
        <v>-886589</v>
      </c>
      <c r="Q58" s="191">
        <f t="shared" si="13"/>
        <v>1536619</v>
      </c>
      <c r="R58" s="191">
        <f t="shared" si="10"/>
        <v>-22700848</v>
      </c>
      <c r="S58" s="163"/>
    </row>
    <row r="59" spans="2:19" ht="18" customHeight="1">
      <c r="B59" s="163"/>
      <c r="D59" s="176" t="s">
        <v>151</v>
      </c>
      <c r="E59" s="190">
        <v>0</v>
      </c>
      <c r="F59" s="191">
        <v>0</v>
      </c>
      <c r="G59" s="191">
        <v>0</v>
      </c>
      <c r="H59" s="469">
        <v>0</v>
      </c>
      <c r="I59" s="191">
        <v>0</v>
      </c>
      <c r="J59" s="191">
        <v>0</v>
      </c>
      <c r="K59" s="191">
        <v>0</v>
      </c>
      <c r="L59" s="181">
        <v>0</v>
      </c>
      <c r="M59" s="191">
        <v>10213</v>
      </c>
      <c r="N59" s="191">
        <v>10614</v>
      </c>
      <c r="O59" s="191">
        <v>30000</v>
      </c>
      <c r="P59" s="191">
        <v>0</v>
      </c>
      <c r="Q59" s="191">
        <v>104</v>
      </c>
      <c r="R59" s="191">
        <f t="shared" si="10"/>
        <v>50931</v>
      </c>
      <c r="S59" s="163"/>
    </row>
    <row r="60" spans="2:19" ht="18" customHeight="1">
      <c r="B60" s="163"/>
      <c r="D60" s="176" t="s">
        <v>152</v>
      </c>
      <c r="E60" s="190">
        <v>0</v>
      </c>
      <c r="F60" s="191">
        <v>0</v>
      </c>
      <c r="G60" s="191">
        <v>0</v>
      </c>
      <c r="H60" s="469">
        <v>0</v>
      </c>
      <c r="I60" s="191">
        <v>0</v>
      </c>
      <c r="J60" s="191">
        <v>0</v>
      </c>
      <c r="K60" s="191">
        <v>0</v>
      </c>
      <c r="L60" s="181">
        <v>0</v>
      </c>
      <c r="M60" s="191">
        <v>0</v>
      </c>
      <c r="N60" s="191">
        <v>0</v>
      </c>
      <c r="O60" s="191">
        <v>0</v>
      </c>
      <c r="P60" s="191">
        <v>0</v>
      </c>
      <c r="Q60" s="191">
        <v>0</v>
      </c>
      <c r="R60" s="191">
        <f t="shared" si="10"/>
        <v>0</v>
      </c>
      <c r="S60" s="163"/>
    </row>
    <row r="61" spans="2:19" ht="18" customHeight="1">
      <c r="B61" s="163"/>
      <c r="D61" s="176" t="s">
        <v>153</v>
      </c>
      <c r="E61" s="190">
        <v>0</v>
      </c>
      <c r="F61" s="191">
        <v>0</v>
      </c>
      <c r="G61" s="191">
        <v>0</v>
      </c>
      <c r="H61" s="469">
        <v>0</v>
      </c>
      <c r="I61" s="191">
        <v>0</v>
      </c>
      <c r="J61" s="191">
        <v>0</v>
      </c>
      <c r="K61" s="191">
        <v>0</v>
      </c>
      <c r="L61" s="181">
        <v>0</v>
      </c>
      <c r="M61" s="191">
        <v>0</v>
      </c>
      <c r="N61" s="191">
        <v>0</v>
      </c>
      <c r="O61" s="191">
        <v>0</v>
      </c>
      <c r="P61" s="191">
        <v>0</v>
      </c>
      <c r="Q61" s="191">
        <v>0</v>
      </c>
      <c r="R61" s="191">
        <f t="shared" si="10"/>
        <v>0</v>
      </c>
      <c r="S61" s="163"/>
    </row>
    <row r="62" spans="2:19" ht="18" customHeight="1">
      <c r="B62" s="163"/>
      <c r="D62" s="176" t="s">
        <v>154</v>
      </c>
      <c r="E62" s="190">
        <v>0</v>
      </c>
      <c r="F62" s="191">
        <v>0</v>
      </c>
      <c r="G62" s="191">
        <v>0</v>
      </c>
      <c r="H62" s="469">
        <v>0</v>
      </c>
      <c r="I62" s="191">
        <v>0</v>
      </c>
      <c r="J62" s="191">
        <v>0</v>
      </c>
      <c r="K62" s="191">
        <v>0</v>
      </c>
      <c r="L62" s="181">
        <v>0</v>
      </c>
      <c r="M62" s="191">
        <v>0</v>
      </c>
      <c r="N62" s="191">
        <v>0</v>
      </c>
      <c r="O62" s="191">
        <v>0</v>
      </c>
      <c r="P62" s="191">
        <v>0</v>
      </c>
      <c r="Q62" s="191">
        <v>0</v>
      </c>
      <c r="R62" s="191">
        <f t="shared" si="10"/>
        <v>0</v>
      </c>
      <c r="S62" s="163"/>
    </row>
    <row r="63" spans="2:19" ht="18" customHeight="1">
      <c r="B63" s="163"/>
      <c r="D63" s="176" t="s">
        <v>155</v>
      </c>
      <c r="E63" s="190">
        <v>0</v>
      </c>
      <c r="F63" s="191">
        <v>0</v>
      </c>
      <c r="G63" s="191">
        <v>0</v>
      </c>
      <c r="H63" s="469">
        <v>0</v>
      </c>
      <c r="I63" s="191">
        <v>0</v>
      </c>
      <c r="J63" s="191">
        <v>0</v>
      </c>
      <c r="K63" s="191">
        <v>0</v>
      </c>
      <c r="L63" s="181">
        <v>0</v>
      </c>
      <c r="M63" s="191">
        <v>0</v>
      </c>
      <c r="N63" s="191">
        <v>0</v>
      </c>
      <c r="O63" s="191"/>
      <c r="P63" s="191">
        <v>0</v>
      </c>
      <c r="Q63" s="191">
        <v>1536515</v>
      </c>
      <c r="R63" s="191">
        <f t="shared" si="10"/>
        <v>1536515</v>
      </c>
      <c r="S63" s="163"/>
    </row>
    <row r="64" spans="2:19" ht="18" customHeight="1">
      <c r="B64" s="187"/>
      <c r="C64" s="162"/>
      <c r="D64" s="183" t="s">
        <v>236</v>
      </c>
      <c r="E64" s="172">
        <v>2736638</v>
      </c>
      <c r="F64" s="173">
        <v>2108231</v>
      </c>
      <c r="G64" s="173">
        <v>4378429</v>
      </c>
      <c r="H64" s="468">
        <v>0</v>
      </c>
      <c r="I64" s="173">
        <v>9321639</v>
      </c>
      <c r="J64" s="173">
        <v>2774458</v>
      </c>
      <c r="K64" s="173">
        <v>466796</v>
      </c>
      <c r="L64" s="185">
        <v>780107</v>
      </c>
      <c r="M64" s="173">
        <v>777557</v>
      </c>
      <c r="N64" s="173">
        <v>31789</v>
      </c>
      <c r="O64" s="173">
        <v>26061</v>
      </c>
      <c r="P64" s="173">
        <v>886589</v>
      </c>
      <c r="Q64" s="173"/>
      <c r="R64" s="173">
        <f t="shared" si="10"/>
        <v>24288294</v>
      </c>
      <c r="S64" s="163"/>
    </row>
    <row r="65" spans="2:19" ht="18" customHeight="1">
      <c r="B65" s="187" t="s">
        <v>156</v>
      </c>
      <c r="C65" s="162"/>
      <c r="D65" s="162"/>
      <c r="E65" s="172">
        <f>E46+E51</f>
        <v>13581316</v>
      </c>
      <c r="F65" s="173">
        <f>F46+F51</f>
        <v>-7893</v>
      </c>
      <c r="G65" s="173">
        <f>G46+G51</f>
        <v>1578229</v>
      </c>
      <c r="H65" s="468" t="s">
        <v>460</v>
      </c>
      <c r="I65" s="173">
        <f aca="true" t="shared" si="14" ref="I65:P65">I46+I51</f>
        <v>-2574301</v>
      </c>
      <c r="J65" s="173">
        <f t="shared" si="14"/>
        <v>190097</v>
      </c>
      <c r="K65" s="173">
        <f t="shared" si="14"/>
        <v>3005505</v>
      </c>
      <c r="L65" s="188">
        <f t="shared" si="14"/>
        <v>-131947</v>
      </c>
      <c r="M65" s="173">
        <f t="shared" si="14"/>
        <v>486622</v>
      </c>
      <c r="N65" s="173">
        <f t="shared" si="14"/>
        <v>302061</v>
      </c>
      <c r="O65" s="173">
        <f t="shared" si="14"/>
        <v>451513</v>
      </c>
      <c r="P65" s="173">
        <f t="shared" si="14"/>
        <v>85189</v>
      </c>
      <c r="Q65" s="173">
        <v>2565276</v>
      </c>
      <c r="R65" s="173">
        <f t="shared" si="10"/>
        <v>19531667</v>
      </c>
      <c r="S65" s="163"/>
    </row>
    <row r="66" spans="2:19" ht="18" customHeight="1">
      <c r="B66" s="189" t="s">
        <v>266</v>
      </c>
      <c r="C66" s="162"/>
      <c r="D66" s="162"/>
      <c r="E66" s="172">
        <f>E45+E65</f>
        <v>30743199</v>
      </c>
      <c r="F66" s="173">
        <f>F45+F65</f>
        <v>4749124</v>
      </c>
      <c r="G66" s="173">
        <f>G45+G65</f>
        <v>10413290</v>
      </c>
      <c r="H66" s="468" t="s">
        <v>460</v>
      </c>
      <c r="I66" s="173">
        <f aca="true" t="shared" si="15" ref="I66:Q66">I45+I65</f>
        <v>7357415</v>
      </c>
      <c r="J66" s="173">
        <f t="shared" si="15"/>
        <v>4311548</v>
      </c>
      <c r="K66" s="173">
        <f t="shared" si="15"/>
        <v>3504638</v>
      </c>
      <c r="L66" s="188">
        <f t="shared" si="15"/>
        <v>2286648</v>
      </c>
      <c r="M66" s="173">
        <f t="shared" si="15"/>
        <v>4014547</v>
      </c>
      <c r="N66" s="173">
        <f t="shared" si="15"/>
        <v>540528</v>
      </c>
      <c r="O66" s="173">
        <f t="shared" si="15"/>
        <v>1300910</v>
      </c>
      <c r="P66" s="173">
        <f t="shared" si="15"/>
        <v>554196</v>
      </c>
      <c r="Q66" s="173">
        <f t="shared" si="15"/>
        <v>7872580</v>
      </c>
      <c r="R66" s="173">
        <f t="shared" si="10"/>
        <v>77648623</v>
      </c>
      <c r="S66" s="163"/>
    </row>
    <row r="67" spans="2:19" ht="18" customHeight="1">
      <c r="B67" s="187" t="s">
        <v>157</v>
      </c>
      <c r="C67" s="162"/>
      <c r="D67" s="162"/>
      <c r="E67" s="172">
        <v>0</v>
      </c>
      <c r="F67" s="173"/>
      <c r="G67" s="173">
        <v>0</v>
      </c>
      <c r="H67" s="468" t="s">
        <v>460</v>
      </c>
      <c r="I67" s="173">
        <v>550878</v>
      </c>
      <c r="J67" s="173">
        <v>0</v>
      </c>
      <c r="K67" s="173">
        <v>0</v>
      </c>
      <c r="L67" s="188">
        <v>15472</v>
      </c>
      <c r="M67" s="173"/>
      <c r="N67" s="173">
        <v>0</v>
      </c>
      <c r="O67" s="173">
        <v>0</v>
      </c>
      <c r="P67" s="173">
        <v>0</v>
      </c>
      <c r="Q67" s="173">
        <v>0</v>
      </c>
      <c r="R67" s="173">
        <f t="shared" si="10"/>
        <v>566350</v>
      </c>
      <c r="S67" s="163"/>
    </row>
    <row r="68" spans="2:19" ht="18" customHeight="1" thickBot="1">
      <c r="B68" s="170" t="s">
        <v>158</v>
      </c>
      <c r="C68" s="166"/>
      <c r="D68" s="166"/>
      <c r="E68" s="193">
        <v>0</v>
      </c>
      <c r="F68" s="194"/>
      <c r="G68" s="194">
        <v>0</v>
      </c>
      <c r="H68" s="470" t="s">
        <v>461</v>
      </c>
      <c r="I68" s="194">
        <v>550878</v>
      </c>
      <c r="J68" s="194">
        <v>0</v>
      </c>
      <c r="K68" s="194">
        <v>0</v>
      </c>
      <c r="L68" s="195">
        <v>15472</v>
      </c>
      <c r="M68" s="194"/>
      <c r="N68" s="194">
        <v>0</v>
      </c>
      <c r="O68" s="194">
        <v>0</v>
      </c>
      <c r="P68" s="194">
        <v>0</v>
      </c>
      <c r="Q68" s="194">
        <v>0</v>
      </c>
      <c r="R68" s="194">
        <f t="shared" si="10"/>
        <v>566350</v>
      </c>
      <c r="S68" s="163"/>
    </row>
    <row r="70" spans="4:20" ht="17.25">
      <c r="D70" s="422"/>
      <c r="E70" s="175" t="b">
        <f aca="true" t="shared" si="16" ref="E70:R70">IF(E23=(E45+E65)="","Check!")</f>
        <v>0</v>
      </c>
      <c r="F70" s="175" t="b">
        <f t="shared" si="16"/>
        <v>0</v>
      </c>
      <c r="G70" s="175" t="b">
        <f t="shared" si="16"/>
        <v>0</v>
      </c>
      <c r="H70" s="175" t="b">
        <f t="shared" si="16"/>
        <v>0</v>
      </c>
      <c r="I70" s="175" t="b">
        <f t="shared" si="16"/>
        <v>0</v>
      </c>
      <c r="J70" s="175" t="b">
        <f t="shared" si="16"/>
        <v>0</v>
      </c>
      <c r="K70" s="175" t="b">
        <f t="shared" si="16"/>
        <v>0</v>
      </c>
      <c r="L70" s="175" t="b">
        <f t="shared" si="16"/>
        <v>0</v>
      </c>
      <c r="M70" s="175" t="b">
        <f t="shared" si="16"/>
        <v>0</v>
      </c>
      <c r="N70" s="175" t="b">
        <f t="shared" si="16"/>
        <v>0</v>
      </c>
      <c r="O70" s="175" t="b">
        <f t="shared" si="16"/>
        <v>0</v>
      </c>
      <c r="P70" s="175" t="b">
        <f t="shared" si="16"/>
        <v>0</v>
      </c>
      <c r="Q70" s="175" t="b">
        <f t="shared" si="16"/>
        <v>0</v>
      </c>
      <c r="R70" s="175" t="b">
        <f t="shared" si="16"/>
        <v>0</v>
      </c>
      <c r="S70" s="175"/>
      <c r="T70" s="175"/>
    </row>
    <row r="81" ht="17.25">
      <c r="D81" s="175"/>
    </row>
  </sheetData>
  <sheetProtection/>
  <mergeCells count="1">
    <mergeCell ref="H5:H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0" zoomScaleNormal="65" zoomScalePageLayoutView="0" workbookViewId="0" topLeftCell="A1">
      <pane xSplit="4" ySplit="8" topLeftCell="E24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J34" sqref="J34"/>
    </sheetView>
  </sheetViews>
  <sheetFormatPr defaultColWidth="8.66015625" defaultRowHeight="18"/>
  <cols>
    <col min="1" max="1" width="1.66015625" style="245" customWidth="1"/>
    <col min="2" max="3" width="4.66015625" style="245" customWidth="1"/>
    <col min="4" max="4" width="20.66015625" style="245" customWidth="1"/>
    <col min="5" max="17" width="12.66015625" style="245" customWidth="1"/>
    <col min="18" max="18" width="13.16015625" style="245" customWidth="1"/>
    <col min="19" max="19" width="1.66015625" style="245" customWidth="1"/>
    <col min="20" max="20" width="2.66015625" style="245" customWidth="1"/>
    <col min="21" max="16384" width="8.66015625" style="245" customWidth="1"/>
  </cols>
  <sheetData>
    <row r="1" ht="27.75" customHeight="1">
      <c r="B1" s="244" t="s">
        <v>469</v>
      </c>
    </row>
    <row r="2" ht="27.75" customHeight="1"/>
    <row r="3" spans="2:18" ht="27.75" customHeight="1" thickBot="1">
      <c r="B3" s="246" t="s">
        <v>159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 t="s">
        <v>55</v>
      </c>
    </row>
    <row r="4" spans="2:19" ht="27.75" customHeight="1">
      <c r="B4" s="248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8"/>
      <c r="S4" s="248"/>
    </row>
    <row r="5" spans="2:19" ht="27.75" customHeight="1">
      <c r="B5" s="248"/>
      <c r="D5" s="245" t="s">
        <v>56</v>
      </c>
      <c r="E5" s="75" t="s">
        <v>2</v>
      </c>
      <c r="F5" s="76" t="s">
        <v>3</v>
      </c>
      <c r="G5" s="76" t="s">
        <v>4</v>
      </c>
      <c r="H5" s="37" t="s">
        <v>5</v>
      </c>
      <c r="I5" s="76" t="s">
        <v>6</v>
      </c>
      <c r="J5" s="76" t="s">
        <v>7</v>
      </c>
      <c r="K5" s="76" t="s">
        <v>8</v>
      </c>
      <c r="L5" s="76" t="s">
        <v>222</v>
      </c>
      <c r="M5" s="76" t="s">
        <v>223</v>
      </c>
      <c r="N5" s="76" t="s">
        <v>224</v>
      </c>
      <c r="O5" s="76" t="s">
        <v>9</v>
      </c>
      <c r="P5" s="76" t="s">
        <v>225</v>
      </c>
      <c r="Q5" s="76" t="s">
        <v>10</v>
      </c>
      <c r="R5" s="168"/>
      <c r="S5" s="248"/>
    </row>
    <row r="6" spans="2:19" ht="27.75" customHeight="1">
      <c r="B6" s="248"/>
      <c r="E6" s="73"/>
      <c r="F6" s="74"/>
      <c r="G6" s="74"/>
      <c r="H6" s="534" t="s">
        <v>458</v>
      </c>
      <c r="I6" s="74"/>
      <c r="J6" s="74"/>
      <c r="K6" s="74"/>
      <c r="L6" s="74"/>
      <c r="M6" s="74"/>
      <c r="N6" s="74"/>
      <c r="O6" s="74"/>
      <c r="P6" s="74"/>
      <c r="Q6" s="74"/>
      <c r="R6" s="169" t="s">
        <v>11</v>
      </c>
      <c r="S6" s="248"/>
    </row>
    <row r="7" spans="2:19" ht="27.75" customHeight="1">
      <c r="B7" s="248"/>
      <c r="C7" s="245" t="s">
        <v>57</v>
      </c>
      <c r="E7" s="73" t="s">
        <v>333</v>
      </c>
      <c r="F7" s="74" t="s">
        <v>333</v>
      </c>
      <c r="G7" s="74"/>
      <c r="H7" s="534"/>
      <c r="I7" s="74"/>
      <c r="J7" s="74"/>
      <c r="K7" s="74" t="s">
        <v>333</v>
      </c>
      <c r="L7" s="77" t="s">
        <v>334</v>
      </c>
      <c r="M7" s="74" t="s">
        <v>335</v>
      </c>
      <c r="N7" s="74" t="s">
        <v>13</v>
      </c>
      <c r="O7" s="74" t="s">
        <v>13</v>
      </c>
      <c r="P7" s="74" t="s">
        <v>336</v>
      </c>
      <c r="Q7" s="74"/>
      <c r="R7" s="168"/>
      <c r="S7" s="248"/>
    </row>
    <row r="8" spans="2:19" ht="27.75" customHeight="1" thickBot="1">
      <c r="B8" s="249"/>
      <c r="C8" s="246"/>
      <c r="D8" s="250"/>
      <c r="E8" s="117" t="s">
        <v>337</v>
      </c>
      <c r="F8" s="81" t="s">
        <v>338</v>
      </c>
      <c r="G8" s="81" t="s">
        <v>14</v>
      </c>
      <c r="H8" s="432" t="s">
        <v>446</v>
      </c>
      <c r="I8" s="81" t="s">
        <v>297</v>
      </c>
      <c r="J8" s="81" t="s">
        <v>15</v>
      </c>
      <c r="K8" s="81" t="s">
        <v>16</v>
      </c>
      <c r="L8" s="81" t="s">
        <v>296</v>
      </c>
      <c r="M8" s="81" t="s">
        <v>340</v>
      </c>
      <c r="N8" s="81" t="s">
        <v>58</v>
      </c>
      <c r="O8" s="81" t="s">
        <v>59</v>
      </c>
      <c r="P8" s="81" t="s">
        <v>228</v>
      </c>
      <c r="Q8" s="81" t="s">
        <v>17</v>
      </c>
      <c r="R8" s="171"/>
      <c r="S8" s="248"/>
    </row>
    <row r="9" spans="2:19" ht="27.75" customHeight="1">
      <c r="B9" s="248"/>
      <c r="C9" s="251" t="s">
        <v>339</v>
      </c>
      <c r="D9" s="252"/>
      <c r="E9" s="253">
        <v>1684800</v>
      </c>
      <c r="F9" s="254">
        <v>258700</v>
      </c>
      <c r="G9" s="254">
        <v>315600</v>
      </c>
      <c r="H9" s="254">
        <v>0</v>
      </c>
      <c r="I9" s="254">
        <v>58900</v>
      </c>
      <c r="J9" s="254">
        <v>82700</v>
      </c>
      <c r="K9" s="254">
        <v>0</v>
      </c>
      <c r="L9" s="254">
        <v>198900</v>
      </c>
      <c r="M9" s="254">
        <v>184400</v>
      </c>
      <c r="N9" s="254"/>
      <c r="O9" s="254">
        <v>0</v>
      </c>
      <c r="P9" s="254">
        <v>8300</v>
      </c>
      <c r="Q9" s="254">
        <v>522000</v>
      </c>
      <c r="R9" s="254">
        <f>SUM(E9:Q9)</f>
        <v>3314300</v>
      </c>
      <c r="S9" s="248"/>
    </row>
    <row r="10" spans="2:19" ht="27.75" customHeight="1">
      <c r="B10" s="255" t="s">
        <v>91</v>
      </c>
      <c r="C10" s="251" t="s">
        <v>341</v>
      </c>
      <c r="D10" s="252"/>
      <c r="E10" s="253"/>
      <c r="F10" s="254">
        <v>40600</v>
      </c>
      <c r="G10" s="254">
        <v>414828</v>
      </c>
      <c r="H10" s="254">
        <v>0</v>
      </c>
      <c r="I10" s="254">
        <v>351522</v>
      </c>
      <c r="J10" s="254">
        <v>0</v>
      </c>
      <c r="K10" s="254">
        <v>37148</v>
      </c>
      <c r="L10" s="254"/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f>SUM(E10:Q10)</f>
        <v>844098</v>
      </c>
      <c r="S10" s="248"/>
    </row>
    <row r="11" spans="2:19" ht="27.75" customHeight="1">
      <c r="B11" s="255" t="s">
        <v>160</v>
      </c>
      <c r="C11" s="251" t="s">
        <v>342</v>
      </c>
      <c r="D11" s="252"/>
      <c r="E11" s="253">
        <v>298691</v>
      </c>
      <c r="F11" s="254">
        <v>74890</v>
      </c>
      <c r="G11" s="254">
        <v>12500</v>
      </c>
      <c r="H11" s="254">
        <v>0</v>
      </c>
      <c r="I11" s="254">
        <v>45469</v>
      </c>
      <c r="J11" s="254">
        <v>212113</v>
      </c>
      <c r="K11" s="254">
        <v>0</v>
      </c>
      <c r="L11" s="254">
        <v>74542</v>
      </c>
      <c r="M11" s="254">
        <v>131977</v>
      </c>
      <c r="N11" s="254">
        <v>16533</v>
      </c>
      <c r="O11" s="254">
        <v>21266</v>
      </c>
      <c r="P11" s="254">
        <v>16672</v>
      </c>
      <c r="Q11" s="254">
        <v>120091</v>
      </c>
      <c r="R11" s="254">
        <f>SUM(E11:Q11)</f>
        <v>1024744</v>
      </c>
      <c r="S11" s="248"/>
    </row>
    <row r="12" spans="2:19" ht="27.75" customHeight="1">
      <c r="B12" s="248"/>
      <c r="C12" s="251" t="s">
        <v>343</v>
      </c>
      <c r="D12" s="252"/>
      <c r="E12" s="253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f aca="true" t="shared" si="0" ref="R12:R24">SUM(E12:Q12)</f>
        <v>0</v>
      </c>
      <c r="S12" s="248"/>
    </row>
    <row r="13" spans="2:19" ht="27.75" customHeight="1">
      <c r="B13" s="255" t="s">
        <v>161</v>
      </c>
      <c r="C13" s="251" t="s">
        <v>344</v>
      </c>
      <c r="D13" s="252"/>
      <c r="E13" s="253">
        <v>0</v>
      </c>
      <c r="F13" s="254"/>
      <c r="G13" s="254">
        <v>0</v>
      </c>
      <c r="H13" s="254">
        <v>0</v>
      </c>
      <c r="I13" s="254">
        <v>100000</v>
      </c>
      <c r="J13" s="254">
        <v>0</v>
      </c>
      <c r="K13" s="254">
        <v>0</v>
      </c>
      <c r="L13" s="254"/>
      <c r="M13" s="254">
        <v>0</v>
      </c>
      <c r="N13" s="254">
        <v>0</v>
      </c>
      <c r="O13" s="254"/>
      <c r="P13" s="254">
        <v>0</v>
      </c>
      <c r="Q13" s="254">
        <v>0</v>
      </c>
      <c r="R13" s="254">
        <f t="shared" si="0"/>
        <v>100000</v>
      </c>
      <c r="S13" s="248"/>
    </row>
    <row r="14" spans="2:19" ht="27.75" customHeight="1">
      <c r="B14" s="248"/>
      <c r="C14" s="251" t="s">
        <v>345</v>
      </c>
      <c r="D14" s="252"/>
      <c r="E14" s="253">
        <v>294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/>
      <c r="N14" s="254">
        <v>0</v>
      </c>
      <c r="O14" s="254">
        <v>0</v>
      </c>
      <c r="P14" s="254">
        <v>0</v>
      </c>
      <c r="Q14" s="254">
        <v>0</v>
      </c>
      <c r="R14" s="254">
        <f t="shared" si="0"/>
        <v>294</v>
      </c>
      <c r="S14" s="248"/>
    </row>
    <row r="15" spans="2:19" ht="27.75" customHeight="1">
      <c r="B15" s="255" t="s">
        <v>162</v>
      </c>
      <c r="C15" s="251" t="s">
        <v>346</v>
      </c>
      <c r="D15" s="252"/>
      <c r="E15" s="253"/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/>
      <c r="O15" s="254">
        <v>0</v>
      </c>
      <c r="P15" s="254">
        <v>0</v>
      </c>
      <c r="Q15" s="254">
        <v>248351</v>
      </c>
      <c r="R15" s="254">
        <f t="shared" si="0"/>
        <v>248351</v>
      </c>
      <c r="S15" s="248"/>
    </row>
    <row r="16" spans="2:19" ht="27.75" customHeight="1">
      <c r="B16" s="248"/>
      <c r="C16" s="251" t="s">
        <v>347</v>
      </c>
      <c r="D16" s="252"/>
      <c r="E16" s="253"/>
      <c r="F16" s="254"/>
      <c r="G16" s="254">
        <v>12187</v>
      </c>
      <c r="H16" s="254">
        <v>0</v>
      </c>
      <c r="I16" s="254">
        <v>23162</v>
      </c>
      <c r="J16" s="254"/>
      <c r="K16" s="254"/>
      <c r="L16" s="254">
        <v>0</v>
      </c>
      <c r="M16" s="254">
        <v>16553</v>
      </c>
      <c r="N16" s="254">
        <v>0</v>
      </c>
      <c r="O16" s="254">
        <v>0</v>
      </c>
      <c r="P16" s="254"/>
      <c r="Q16" s="254">
        <v>57325</v>
      </c>
      <c r="R16" s="254">
        <f t="shared" si="0"/>
        <v>109227</v>
      </c>
      <c r="S16" s="248"/>
    </row>
    <row r="17" spans="2:19" ht="27.75" customHeight="1">
      <c r="B17" s="255" t="s">
        <v>128</v>
      </c>
      <c r="C17" s="251" t="s">
        <v>348</v>
      </c>
      <c r="D17" s="252"/>
      <c r="E17" s="253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f t="shared" si="0"/>
        <v>0</v>
      </c>
      <c r="S17" s="248"/>
    </row>
    <row r="18" spans="2:19" ht="27.75" customHeight="1">
      <c r="B18" s="248"/>
      <c r="C18" s="251" t="s">
        <v>349</v>
      </c>
      <c r="D18" s="252"/>
      <c r="E18" s="253">
        <v>641</v>
      </c>
      <c r="F18" s="254">
        <v>67665</v>
      </c>
      <c r="G18" s="254">
        <v>17970</v>
      </c>
      <c r="H18" s="254">
        <v>24090</v>
      </c>
      <c r="I18" s="254"/>
      <c r="J18" s="254">
        <v>1230</v>
      </c>
      <c r="K18" s="254">
        <v>720</v>
      </c>
      <c r="L18" s="254"/>
      <c r="M18" s="254">
        <v>0</v>
      </c>
      <c r="N18" s="254">
        <v>0</v>
      </c>
      <c r="O18" s="254">
        <v>0</v>
      </c>
      <c r="P18" s="254"/>
      <c r="Q18" s="254">
        <v>1453</v>
      </c>
      <c r="R18" s="254">
        <f t="shared" si="0"/>
        <v>113769</v>
      </c>
      <c r="S18" s="248"/>
    </row>
    <row r="19" spans="2:19" ht="27.75" customHeight="1">
      <c r="B19" s="255" t="s">
        <v>116</v>
      </c>
      <c r="C19" s="256" t="s">
        <v>163</v>
      </c>
      <c r="D19" s="252"/>
      <c r="E19" s="253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f t="shared" si="0"/>
        <v>0</v>
      </c>
      <c r="S19" s="248"/>
    </row>
    <row r="20" spans="2:19" ht="27.75" customHeight="1">
      <c r="B20" s="257"/>
      <c r="C20" s="258" t="s">
        <v>358</v>
      </c>
      <c r="D20" s="259"/>
      <c r="E20" s="260">
        <f>E9+E10+E11+E12+E13+E14+E15+E16+E17+E18-E19</f>
        <v>1984426</v>
      </c>
      <c r="F20" s="261">
        <f>F9+F10+F11+F12+F13+F14+F15+F16+F17+F18-F19</f>
        <v>441855</v>
      </c>
      <c r="G20" s="261">
        <f>G9+G10+G11+G12+G13+G14+G15+G16+G17+G18-G19</f>
        <v>773085</v>
      </c>
      <c r="H20" s="261">
        <f aca="true" t="shared" si="1" ref="H20:Q20">H9+H10+H11+H12+H13+H14+H15+H16+H17+H18-H19</f>
        <v>24090</v>
      </c>
      <c r="I20" s="261">
        <f t="shared" si="1"/>
        <v>579053</v>
      </c>
      <c r="J20" s="261">
        <f t="shared" si="1"/>
        <v>296043</v>
      </c>
      <c r="K20" s="261">
        <f t="shared" si="1"/>
        <v>37868</v>
      </c>
      <c r="L20" s="261">
        <f t="shared" si="1"/>
        <v>273442</v>
      </c>
      <c r="M20" s="261">
        <f t="shared" si="1"/>
        <v>332930</v>
      </c>
      <c r="N20" s="261">
        <f t="shared" si="1"/>
        <v>16533</v>
      </c>
      <c r="O20" s="261">
        <f t="shared" si="1"/>
        <v>21266</v>
      </c>
      <c r="P20" s="261">
        <f t="shared" si="1"/>
        <v>24972</v>
      </c>
      <c r="Q20" s="261">
        <f t="shared" si="1"/>
        <v>949220</v>
      </c>
      <c r="R20" s="261">
        <f t="shared" si="0"/>
        <v>5754783</v>
      </c>
      <c r="S20" s="248"/>
    </row>
    <row r="21" spans="2:19" ht="27.75" customHeight="1">
      <c r="B21" s="248"/>
      <c r="C21" s="262" t="s">
        <v>350</v>
      </c>
      <c r="D21" s="252"/>
      <c r="E21" s="253">
        <v>1928956</v>
      </c>
      <c r="F21" s="254">
        <v>428140</v>
      </c>
      <c r="G21" s="254">
        <v>464729</v>
      </c>
      <c r="H21" s="254">
        <v>0</v>
      </c>
      <c r="I21" s="254">
        <v>90859</v>
      </c>
      <c r="J21" s="254">
        <v>84105</v>
      </c>
      <c r="K21" s="254">
        <v>25209</v>
      </c>
      <c r="L21" s="254">
        <v>198979</v>
      </c>
      <c r="M21" s="254">
        <v>221459</v>
      </c>
      <c r="N21" s="254"/>
      <c r="O21" s="254">
        <v>6494</v>
      </c>
      <c r="P21" s="254">
        <v>8834</v>
      </c>
      <c r="Q21" s="254">
        <v>888266</v>
      </c>
      <c r="R21" s="254">
        <f t="shared" si="0"/>
        <v>4346030</v>
      </c>
      <c r="S21" s="248"/>
    </row>
    <row r="22" spans="2:19" ht="27.75" customHeight="1">
      <c r="B22" s="255" t="s">
        <v>164</v>
      </c>
      <c r="C22" s="256" t="s">
        <v>165</v>
      </c>
      <c r="D22" s="263" t="s">
        <v>351</v>
      </c>
      <c r="E22" s="253"/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f t="shared" si="0"/>
        <v>0</v>
      </c>
      <c r="S22" s="248"/>
    </row>
    <row r="23" spans="2:19" ht="27.75" customHeight="1">
      <c r="B23" s="255" t="s">
        <v>160</v>
      </c>
      <c r="C23" s="251" t="s">
        <v>352</v>
      </c>
      <c r="D23" s="252"/>
      <c r="E23" s="253">
        <v>591750</v>
      </c>
      <c r="F23" s="254">
        <v>63512</v>
      </c>
      <c r="G23" s="254">
        <v>693001</v>
      </c>
      <c r="H23" s="254">
        <v>24090</v>
      </c>
      <c r="I23" s="254">
        <v>696888</v>
      </c>
      <c r="J23" s="254">
        <v>361976</v>
      </c>
      <c r="K23" s="254">
        <v>55723</v>
      </c>
      <c r="L23" s="254">
        <v>74463</v>
      </c>
      <c r="M23" s="254">
        <v>229639</v>
      </c>
      <c r="N23" s="254">
        <v>16533</v>
      </c>
      <c r="O23" s="254">
        <v>26634</v>
      </c>
      <c r="P23" s="254">
        <v>30970</v>
      </c>
      <c r="Q23" s="254">
        <v>240990</v>
      </c>
      <c r="R23" s="254">
        <f t="shared" si="0"/>
        <v>3106169</v>
      </c>
      <c r="S23" s="248"/>
    </row>
    <row r="24" spans="2:20" ht="36" customHeight="1">
      <c r="B24" s="255" t="s">
        <v>161</v>
      </c>
      <c r="C24" s="535" t="s">
        <v>355</v>
      </c>
      <c r="D24" s="536"/>
      <c r="E24" s="264">
        <v>0</v>
      </c>
      <c r="F24" s="265">
        <v>0</v>
      </c>
      <c r="G24" s="265">
        <v>0</v>
      </c>
      <c r="H24" s="265">
        <v>0</v>
      </c>
      <c r="I24" s="265">
        <v>100000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54">
        <f t="shared" si="0"/>
        <v>100000</v>
      </c>
      <c r="S24" s="266"/>
      <c r="T24" s="267"/>
    </row>
    <row r="25" spans="2:19" ht="27.75" customHeight="1">
      <c r="B25" s="255" t="s">
        <v>166</v>
      </c>
      <c r="C25" s="251" t="s">
        <v>353</v>
      </c>
      <c r="D25" s="252"/>
      <c r="E25" s="253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f aca="true" t="shared" si="2" ref="R25:R33">SUM(E25:Q25)</f>
        <v>0</v>
      </c>
      <c r="S25" s="248"/>
    </row>
    <row r="26" spans="2:19" ht="27.75" customHeight="1">
      <c r="B26" s="255" t="s">
        <v>167</v>
      </c>
      <c r="C26" s="251" t="s">
        <v>354</v>
      </c>
      <c r="D26" s="252"/>
      <c r="E26" s="253">
        <v>10800</v>
      </c>
      <c r="F26" s="254">
        <v>125788</v>
      </c>
      <c r="G26" s="254">
        <v>69120</v>
      </c>
      <c r="H26" s="254">
        <v>0</v>
      </c>
      <c r="I26" s="254">
        <v>0</v>
      </c>
      <c r="J26" s="254">
        <v>3600</v>
      </c>
      <c r="K26" s="254">
        <v>7200</v>
      </c>
      <c r="L26" s="254">
        <v>0</v>
      </c>
      <c r="M26" s="254">
        <v>448</v>
      </c>
      <c r="N26" s="254">
        <v>0</v>
      </c>
      <c r="O26" s="254">
        <v>0</v>
      </c>
      <c r="P26" s="254">
        <v>0</v>
      </c>
      <c r="Q26" s="254">
        <v>6600</v>
      </c>
      <c r="R26" s="254">
        <f t="shared" si="2"/>
        <v>223556</v>
      </c>
      <c r="S26" s="248"/>
    </row>
    <row r="27" spans="2:19" ht="27.75" customHeight="1">
      <c r="B27" s="268"/>
      <c r="C27" s="258" t="s">
        <v>356</v>
      </c>
      <c r="D27" s="259"/>
      <c r="E27" s="260">
        <f>E21+E23+E24+E25+E26</f>
        <v>2531506</v>
      </c>
      <c r="F27" s="434">
        <f aca="true" t="shared" si="3" ref="F27:R27">F21+F23+F24+F25+F26</f>
        <v>617440</v>
      </c>
      <c r="G27" s="434">
        <f t="shared" si="3"/>
        <v>1226850</v>
      </c>
      <c r="H27" s="434">
        <f t="shared" si="3"/>
        <v>24090</v>
      </c>
      <c r="I27" s="434">
        <f t="shared" si="3"/>
        <v>887747</v>
      </c>
      <c r="J27" s="434">
        <f t="shared" si="3"/>
        <v>449681</v>
      </c>
      <c r="K27" s="434">
        <f t="shared" si="3"/>
        <v>88132</v>
      </c>
      <c r="L27" s="434">
        <f t="shared" si="3"/>
        <v>273442</v>
      </c>
      <c r="M27" s="434">
        <f t="shared" si="3"/>
        <v>451546</v>
      </c>
      <c r="N27" s="434">
        <f t="shared" si="3"/>
        <v>16533</v>
      </c>
      <c r="O27" s="434">
        <f t="shared" si="3"/>
        <v>33128</v>
      </c>
      <c r="P27" s="434">
        <f t="shared" si="3"/>
        <v>39804</v>
      </c>
      <c r="Q27" s="434">
        <f t="shared" si="3"/>
        <v>1135856</v>
      </c>
      <c r="R27" s="433">
        <f t="shared" si="3"/>
        <v>7775755</v>
      </c>
      <c r="S27" s="248"/>
    </row>
    <row r="28" spans="2:19" ht="27.75" customHeight="1">
      <c r="B28" s="269" t="s">
        <v>357</v>
      </c>
      <c r="C28" s="270"/>
      <c r="D28" s="270"/>
      <c r="E28" s="260">
        <f>IF((E27-E20)&lt;0,0,E27-E20)</f>
        <v>547080</v>
      </c>
      <c r="F28" s="261">
        <f aca="true" t="shared" si="4" ref="F28:Q28">IF((F27-F20)&lt;0,0,F27-F20)</f>
        <v>175585</v>
      </c>
      <c r="G28" s="261">
        <f t="shared" si="4"/>
        <v>453765</v>
      </c>
      <c r="H28" s="261">
        <f t="shared" si="4"/>
        <v>0</v>
      </c>
      <c r="I28" s="261">
        <f t="shared" si="4"/>
        <v>308694</v>
      </c>
      <c r="J28" s="261">
        <f t="shared" si="4"/>
        <v>153638</v>
      </c>
      <c r="K28" s="261">
        <f t="shared" si="4"/>
        <v>50264</v>
      </c>
      <c r="L28" s="261"/>
      <c r="M28" s="261">
        <f t="shared" si="4"/>
        <v>118616</v>
      </c>
      <c r="N28" s="261">
        <f t="shared" si="4"/>
        <v>0</v>
      </c>
      <c r="O28" s="261">
        <f t="shared" si="4"/>
        <v>11862</v>
      </c>
      <c r="P28" s="261">
        <f t="shared" si="4"/>
        <v>14832</v>
      </c>
      <c r="Q28" s="261">
        <f t="shared" si="4"/>
        <v>186636</v>
      </c>
      <c r="R28" s="261">
        <f t="shared" si="2"/>
        <v>2020972</v>
      </c>
      <c r="S28" s="248"/>
    </row>
    <row r="29" spans="2:19" ht="27.75" customHeight="1">
      <c r="B29" s="255" t="s">
        <v>168</v>
      </c>
      <c r="C29" s="256" t="s">
        <v>169</v>
      </c>
      <c r="D29" s="252"/>
      <c r="E29" s="253">
        <v>544023</v>
      </c>
      <c r="F29" s="254">
        <v>174024</v>
      </c>
      <c r="G29" s="254">
        <v>420784</v>
      </c>
      <c r="H29" s="254">
        <v>0</v>
      </c>
      <c r="I29" s="254">
        <v>108328</v>
      </c>
      <c r="J29" s="254">
        <v>131594</v>
      </c>
      <c r="K29" s="254">
        <v>50264</v>
      </c>
      <c r="L29" s="254">
        <v>0</v>
      </c>
      <c r="M29" s="254">
        <v>102296</v>
      </c>
      <c r="N29" s="254"/>
      <c r="O29" s="254">
        <v>11862</v>
      </c>
      <c r="P29" s="254">
        <v>14180</v>
      </c>
      <c r="Q29" s="254"/>
      <c r="R29" s="254">
        <f t="shared" si="2"/>
        <v>1557355</v>
      </c>
      <c r="S29" s="248"/>
    </row>
    <row r="30" spans="2:19" ht="27.75" customHeight="1">
      <c r="B30" s="255" t="s">
        <v>170</v>
      </c>
      <c r="C30" s="256" t="s">
        <v>171</v>
      </c>
      <c r="D30" s="252"/>
      <c r="E30" s="253">
        <v>0</v>
      </c>
      <c r="F30" s="254">
        <v>0</v>
      </c>
      <c r="G30" s="254">
        <v>0</v>
      </c>
      <c r="H30" s="254">
        <v>0</v>
      </c>
      <c r="I30" s="254"/>
      <c r="J30" s="254">
        <v>0</v>
      </c>
      <c r="K30" s="254">
        <v>0</v>
      </c>
      <c r="L30" s="254">
        <v>0</v>
      </c>
      <c r="M30" s="254"/>
      <c r="N30" s="254">
        <v>0</v>
      </c>
      <c r="O30" s="254">
        <v>0</v>
      </c>
      <c r="P30" s="254">
        <v>0</v>
      </c>
      <c r="Q30" s="254">
        <v>0</v>
      </c>
      <c r="R30" s="254">
        <f t="shared" si="2"/>
        <v>0</v>
      </c>
      <c r="S30" s="248"/>
    </row>
    <row r="31" spans="2:19" ht="27.75" customHeight="1">
      <c r="B31" s="255" t="s">
        <v>172</v>
      </c>
      <c r="C31" s="256" t="s">
        <v>173</v>
      </c>
      <c r="D31" s="252"/>
      <c r="E31" s="253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f t="shared" si="2"/>
        <v>0</v>
      </c>
      <c r="S31" s="248"/>
    </row>
    <row r="32" spans="2:19" ht="27.75" customHeight="1">
      <c r="B32" s="255" t="s">
        <v>174</v>
      </c>
      <c r="C32" s="256" t="s">
        <v>175</v>
      </c>
      <c r="D32" s="252"/>
      <c r="E32" s="253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  <c r="Q32" s="254"/>
      <c r="R32" s="254">
        <f t="shared" si="2"/>
        <v>0</v>
      </c>
      <c r="S32" s="248"/>
    </row>
    <row r="33" spans="2:19" ht="27.75" customHeight="1">
      <c r="B33" s="255" t="s">
        <v>176</v>
      </c>
      <c r="C33" s="256" t="s">
        <v>177</v>
      </c>
      <c r="D33" s="252"/>
      <c r="E33" s="253">
        <v>3057</v>
      </c>
      <c r="F33" s="254">
        <v>1561</v>
      </c>
      <c r="G33" s="254">
        <v>32981</v>
      </c>
      <c r="H33" s="254">
        <v>0</v>
      </c>
      <c r="I33" s="254">
        <v>8225</v>
      </c>
      <c r="J33" s="254">
        <v>22044</v>
      </c>
      <c r="K33" s="254">
        <v>0</v>
      </c>
      <c r="L33" s="254">
        <v>0</v>
      </c>
      <c r="M33" s="254">
        <v>16320</v>
      </c>
      <c r="N33" s="254">
        <v>0</v>
      </c>
      <c r="O33" s="254">
        <v>0</v>
      </c>
      <c r="P33" s="254">
        <v>652</v>
      </c>
      <c r="Q33" s="254">
        <v>186636</v>
      </c>
      <c r="R33" s="254">
        <f t="shared" si="2"/>
        <v>271476</v>
      </c>
      <c r="S33" s="248"/>
    </row>
    <row r="34" spans="2:19" ht="27.75" customHeight="1">
      <c r="B34" s="271" t="s">
        <v>178</v>
      </c>
      <c r="C34" s="258" t="s">
        <v>356</v>
      </c>
      <c r="D34" s="259"/>
      <c r="E34" s="260">
        <f>E29+E30+E31+E32+E33</f>
        <v>547080</v>
      </c>
      <c r="F34" s="261">
        <f aca="true" t="shared" si="5" ref="F34:Q34">F29+F30+F31+F32+F33</f>
        <v>175585</v>
      </c>
      <c r="G34" s="261">
        <f t="shared" si="5"/>
        <v>453765</v>
      </c>
      <c r="H34" s="261">
        <f t="shared" si="5"/>
        <v>0</v>
      </c>
      <c r="I34" s="261">
        <f t="shared" si="5"/>
        <v>116553</v>
      </c>
      <c r="J34" s="261">
        <f t="shared" si="5"/>
        <v>153638</v>
      </c>
      <c r="K34" s="261">
        <f t="shared" si="5"/>
        <v>50264</v>
      </c>
      <c r="L34" s="261">
        <f t="shared" si="5"/>
        <v>0</v>
      </c>
      <c r="M34" s="261">
        <f t="shared" si="5"/>
        <v>118616</v>
      </c>
      <c r="N34" s="261">
        <f t="shared" si="5"/>
        <v>0</v>
      </c>
      <c r="O34" s="261">
        <f t="shared" si="5"/>
        <v>11862</v>
      </c>
      <c r="P34" s="261">
        <f t="shared" si="5"/>
        <v>14832</v>
      </c>
      <c r="Q34" s="261">
        <f t="shared" si="5"/>
        <v>186636</v>
      </c>
      <c r="R34" s="261">
        <f>SUM(E34:Q34)</f>
        <v>1828831</v>
      </c>
      <c r="S34" s="248"/>
    </row>
    <row r="35" spans="2:19" ht="27.75" customHeight="1" thickBot="1">
      <c r="B35" s="272" t="s">
        <v>291</v>
      </c>
      <c r="C35" s="246"/>
      <c r="D35" s="246"/>
      <c r="E35" s="273">
        <f>IF((E28-E34)&lt;0,0,E28-E34)</f>
        <v>0</v>
      </c>
      <c r="F35" s="274">
        <f>IF((F28-F34)&lt;0,0,F28-F34)</f>
        <v>0</v>
      </c>
      <c r="G35" s="274">
        <f aca="true" t="shared" si="6" ref="G35:Q35">IF((G28-G34)&lt;0,0,G28-G34)</f>
        <v>0</v>
      </c>
      <c r="H35" s="274">
        <f t="shared" si="6"/>
        <v>0</v>
      </c>
      <c r="I35" s="274">
        <f t="shared" si="6"/>
        <v>192141</v>
      </c>
      <c r="J35" s="274">
        <f t="shared" si="6"/>
        <v>0</v>
      </c>
      <c r="K35" s="274">
        <f t="shared" si="6"/>
        <v>0</v>
      </c>
      <c r="L35" s="274">
        <f t="shared" si="6"/>
        <v>0</v>
      </c>
      <c r="M35" s="274">
        <f t="shared" si="6"/>
        <v>0</v>
      </c>
      <c r="N35" s="274">
        <f t="shared" si="6"/>
        <v>0</v>
      </c>
      <c r="O35" s="274">
        <f t="shared" si="6"/>
        <v>0</v>
      </c>
      <c r="P35" s="274">
        <f t="shared" si="6"/>
        <v>0</v>
      </c>
      <c r="Q35" s="274">
        <f t="shared" si="6"/>
        <v>0</v>
      </c>
      <c r="R35" s="274">
        <f>SUM(E35:Q35)</f>
        <v>192141</v>
      </c>
      <c r="S35" s="248"/>
    </row>
    <row r="38" spans="5:19" ht="17.25">
      <c r="E38" s="275">
        <v>0</v>
      </c>
      <c r="F38" s="275">
        <v>0</v>
      </c>
      <c r="G38" s="275">
        <v>0</v>
      </c>
      <c r="H38" s="275">
        <v>0</v>
      </c>
      <c r="I38" s="275">
        <v>0</v>
      </c>
      <c r="J38" s="275">
        <v>0</v>
      </c>
      <c r="K38" s="275">
        <v>0</v>
      </c>
      <c r="L38" s="275">
        <v>0</v>
      </c>
      <c r="M38" s="275">
        <v>0</v>
      </c>
      <c r="N38" s="275">
        <v>0</v>
      </c>
      <c r="O38" s="275">
        <v>0</v>
      </c>
      <c r="P38" s="275">
        <v>0</v>
      </c>
      <c r="Q38" s="275">
        <v>0</v>
      </c>
      <c r="R38" s="275">
        <f>SUM(E38:Q38)</f>
        <v>0</v>
      </c>
      <c r="S38" s="275">
        <v>0</v>
      </c>
    </row>
  </sheetData>
  <sheetProtection/>
  <mergeCells count="2">
    <mergeCell ref="C24:D24"/>
    <mergeCell ref="H6:H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13"/>
  <sheetViews>
    <sheetView showGridLines="0" tabSelected="1" view="pageBreakPreview" zoomScale="80" zoomScaleNormal="65" zoomScaleSheetLayoutView="80" zoomScalePageLayoutView="0" workbookViewId="0" topLeftCell="A1">
      <pane xSplit="3" ySplit="8" topLeftCell="D12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C3" sqref="C3"/>
    </sheetView>
  </sheetViews>
  <sheetFormatPr defaultColWidth="8.66015625" defaultRowHeight="18"/>
  <cols>
    <col min="1" max="1" width="1.66015625" style="197" customWidth="1"/>
    <col min="2" max="2" width="8.66015625" style="197" customWidth="1"/>
    <col min="3" max="3" width="28.66015625" style="197" customWidth="1"/>
    <col min="4" max="16" width="11.66015625" style="197" customWidth="1"/>
    <col min="17" max="17" width="12.66015625" style="197" customWidth="1"/>
    <col min="18" max="18" width="1.66015625" style="197" customWidth="1"/>
    <col min="19" max="19" width="2.66015625" style="197" customWidth="1"/>
    <col min="20" max="22" width="12.66015625" style="197" customWidth="1"/>
    <col min="23" max="16384" width="8.66015625" style="197" customWidth="1"/>
  </cols>
  <sheetData>
    <row r="1" ht="25.5" customHeight="1">
      <c r="B1" s="196" t="s">
        <v>469</v>
      </c>
    </row>
    <row r="2" ht="14.25" customHeight="1"/>
    <row r="3" spans="2:17" ht="25.5" customHeight="1" thickBot="1">
      <c r="B3" s="198" t="s">
        <v>179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2:18" ht="25.5" customHeight="1">
      <c r="B4" s="199"/>
      <c r="D4" s="288"/>
      <c r="E4" s="77"/>
      <c r="F4" s="77"/>
      <c r="G4" s="35"/>
      <c r="H4" s="77"/>
      <c r="I4" s="77"/>
      <c r="J4" s="77"/>
      <c r="K4" s="77"/>
      <c r="L4" s="77"/>
      <c r="M4" s="77"/>
      <c r="N4" s="77"/>
      <c r="O4" s="77"/>
      <c r="P4" s="77"/>
      <c r="Q4" s="289"/>
      <c r="R4" s="199"/>
    </row>
    <row r="5" spans="2:18" ht="25.5" customHeight="1">
      <c r="B5" s="199"/>
      <c r="C5" s="197" t="s">
        <v>180</v>
      </c>
      <c r="D5" s="290" t="s">
        <v>2</v>
      </c>
      <c r="E5" s="291" t="s">
        <v>3</v>
      </c>
      <c r="F5" s="291" t="s">
        <v>4</v>
      </c>
      <c r="G5" s="37" t="s">
        <v>5</v>
      </c>
      <c r="H5" s="291" t="s">
        <v>6</v>
      </c>
      <c r="I5" s="291" t="s">
        <v>7</v>
      </c>
      <c r="J5" s="291" t="s">
        <v>8</v>
      </c>
      <c r="K5" s="291" t="s">
        <v>222</v>
      </c>
      <c r="L5" s="291" t="s">
        <v>223</v>
      </c>
      <c r="M5" s="291" t="s">
        <v>224</v>
      </c>
      <c r="N5" s="291" t="s">
        <v>9</v>
      </c>
      <c r="O5" s="291" t="s">
        <v>225</v>
      </c>
      <c r="P5" s="291" t="s">
        <v>10</v>
      </c>
      <c r="Q5" s="289"/>
      <c r="R5" s="199"/>
    </row>
    <row r="6" spans="2:18" ht="25.5" customHeight="1">
      <c r="B6" s="199"/>
      <c r="D6" s="288"/>
      <c r="E6" s="77"/>
      <c r="F6" s="77"/>
      <c r="G6" s="534" t="s">
        <v>458</v>
      </c>
      <c r="H6" s="77"/>
      <c r="I6" s="77"/>
      <c r="J6" s="77"/>
      <c r="K6" s="77"/>
      <c r="L6" s="77"/>
      <c r="M6" s="77"/>
      <c r="N6" s="77"/>
      <c r="O6" s="77"/>
      <c r="P6" s="77"/>
      <c r="Q6" s="292" t="s">
        <v>11</v>
      </c>
      <c r="R6" s="199"/>
    </row>
    <row r="7" spans="2:18" ht="25.5" customHeight="1">
      <c r="B7" s="199" t="s">
        <v>90</v>
      </c>
      <c r="D7" s="288" t="s">
        <v>333</v>
      </c>
      <c r="E7" s="77" t="s">
        <v>333</v>
      </c>
      <c r="F7" s="77"/>
      <c r="G7" s="534"/>
      <c r="H7" s="77"/>
      <c r="I7" s="77"/>
      <c r="J7" s="77" t="s">
        <v>333</v>
      </c>
      <c r="K7" s="77" t="s">
        <v>334</v>
      </c>
      <c r="L7" s="77" t="s">
        <v>335</v>
      </c>
      <c r="M7" s="77" t="s">
        <v>13</v>
      </c>
      <c r="N7" s="77" t="s">
        <v>13</v>
      </c>
      <c r="O7" s="77" t="s">
        <v>336</v>
      </c>
      <c r="P7" s="77"/>
      <c r="Q7" s="293" t="s">
        <v>364</v>
      </c>
      <c r="R7" s="199"/>
    </row>
    <row r="8" spans="2:18" ht="25.5" customHeight="1" thickBot="1">
      <c r="B8" s="200"/>
      <c r="C8" s="201"/>
      <c r="D8" s="117" t="s">
        <v>337</v>
      </c>
      <c r="E8" s="81" t="s">
        <v>338</v>
      </c>
      <c r="F8" s="81" t="s">
        <v>14</v>
      </c>
      <c r="G8" s="432" t="s">
        <v>446</v>
      </c>
      <c r="H8" s="81" t="s">
        <v>297</v>
      </c>
      <c r="I8" s="81" t="s">
        <v>365</v>
      </c>
      <c r="J8" s="81" t="s">
        <v>16</v>
      </c>
      <c r="K8" s="81" t="s">
        <v>296</v>
      </c>
      <c r="L8" s="81" t="s">
        <v>315</v>
      </c>
      <c r="M8" s="81" t="s">
        <v>58</v>
      </c>
      <c r="N8" s="81" t="s">
        <v>59</v>
      </c>
      <c r="O8" s="81" t="s">
        <v>228</v>
      </c>
      <c r="P8" s="81" t="s">
        <v>17</v>
      </c>
      <c r="Q8" s="294"/>
      <c r="R8" s="199"/>
    </row>
    <row r="9" spans="2:22" ht="24.75" customHeight="1">
      <c r="B9" s="202" t="s">
        <v>237</v>
      </c>
      <c r="C9" s="203"/>
      <c r="D9" s="204">
        <f>ROUND(D45/D47*100,1)</f>
        <v>77</v>
      </c>
      <c r="E9" s="205">
        <f>ROUND(E45/E47*100,1)</f>
        <v>57.8</v>
      </c>
      <c r="F9" s="205">
        <f>ROUND(F45/F47*100,1)</f>
        <v>83.5</v>
      </c>
      <c r="G9" s="456" t="s">
        <v>461</v>
      </c>
      <c r="H9" s="205">
        <f>ROUND(H45/H47*100,1)</f>
        <v>76.8</v>
      </c>
      <c r="I9" s="205">
        <f aca="true" t="shared" si="0" ref="I9:P9">ROUND(I45/I47*100,1)</f>
        <v>83.2</v>
      </c>
      <c r="J9" s="205">
        <f t="shared" si="0"/>
        <v>50.9</v>
      </c>
      <c r="K9" s="205">
        <f>ROUND(K45/K47*100,1)</f>
        <v>46.7</v>
      </c>
      <c r="L9" s="205">
        <f>ROUND(L45/L47*100,1)</f>
        <v>33.6</v>
      </c>
      <c r="M9" s="205">
        <f t="shared" si="0"/>
        <v>39.6</v>
      </c>
      <c r="N9" s="205">
        <f t="shared" si="0"/>
        <v>97.8</v>
      </c>
      <c r="O9" s="205">
        <f t="shared" si="0"/>
        <v>50.1</v>
      </c>
      <c r="P9" s="205">
        <f t="shared" si="0"/>
        <v>64.4</v>
      </c>
      <c r="Q9" s="205">
        <f>ROUND(Q45/Q47*100,1)</f>
        <v>67.1</v>
      </c>
      <c r="R9" s="199"/>
      <c r="T9" s="206"/>
      <c r="U9" s="206"/>
      <c r="V9" s="206"/>
    </row>
    <row r="10" spans="2:22" ht="24.75" customHeight="1">
      <c r="B10" s="202" t="s">
        <v>292</v>
      </c>
      <c r="C10" s="203"/>
      <c r="D10" s="204">
        <f>ROUND(D49/D45*100,1)</f>
        <v>251.1</v>
      </c>
      <c r="E10" s="205">
        <f aca="true" t="shared" si="1" ref="E10:Q10">ROUND(E49/E45*100,1)</f>
        <v>180.8</v>
      </c>
      <c r="F10" s="205">
        <f t="shared" si="1"/>
        <v>156.4</v>
      </c>
      <c r="G10" s="457" t="s">
        <v>460</v>
      </c>
      <c r="H10" s="205">
        <f t="shared" si="1"/>
        <v>148.1</v>
      </c>
      <c r="I10" s="205">
        <f t="shared" si="1"/>
        <v>135.7</v>
      </c>
      <c r="J10" s="205">
        <f t="shared" si="1"/>
        <v>216.1</v>
      </c>
      <c r="K10" s="205">
        <f>ROUND(K49/K45*100,1)</f>
        <v>274.9</v>
      </c>
      <c r="L10" s="205">
        <f>ROUND(L49/L45*100,1)</f>
        <v>161.4</v>
      </c>
      <c r="M10" s="205">
        <f t="shared" si="1"/>
        <v>453</v>
      </c>
      <c r="N10" s="205">
        <f t="shared" si="1"/>
        <v>158.5</v>
      </c>
      <c r="O10" s="205">
        <f t="shared" si="1"/>
        <v>262.9</v>
      </c>
      <c r="P10" s="205">
        <f t="shared" si="1"/>
        <v>128.9</v>
      </c>
      <c r="Q10" s="205">
        <f t="shared" si="1"/>
        <v>186.2</v>
      </c>
      <c r="R10" s="199"/>
      <c r="T10" s="206"/>
      <c r="U10" s="206"/>
      <c r="V10" s="206"/>
    </row>
    <row r="11" spans="2:22" ht="24.75" customHeight="1">
      <c r="B11" s="202" t="s">
        <v>293</v>
      </c>
      <c r="C11" s="203"/>
      <c r="D11" s="207">
        <f>+D45/D51</f>
        <v>437.6</v>
      </c>
      <c r="E11" s="208">
        <f aca="true" t="shared" si="2" ref="E11:P11">+E45/E51</f>
        <v>186.21917808219177</v>
      </c>
      <c r="F11" s="208">
        <f t="shared" si="2"/>
        <v>273.85479452054796</v>
      </c>
      <c r="G11" s="458" t="s">
        <v>460</v>
      </c>
      <c r="H11" s="208">
        <f t="shared" si="2"/>
        <v>153.6876712328767</v>
      </c>
      <c r="I11" s="208">
        <f t="shared" si="2"/>
        <v>212.19452054794522</v>
      </c>
      <c r="J11" s="208">
        <f t="shared" si="2"/>
        <v>50.915068493150685</v>
      </c>
      <c r="K11" s="208">
        <f>+K45/K51</f>
        <v>42.035616438356165</v>
      </c>
      <c r="L11" s="208">
        <f>+L45/L51</f>
        <v>94.2904109589041</v>
      </c>
      <c r="M11" s="208">
        <f t="shared" si="2"/>
        <v>12.058333333333334</v>
      </c>
      <c r="N11" s="208">
        <f t="shared" si="2"/>
        <v>48.88767123287671</v>
      </c>
      <c r="O11" s="208">
        <f t="shared" si="2"/>
        <v>38.0986301369863</v>
      </c>
      <c r="P11" s="208">
        <f t="shared" si="2"/>
        <v>178.98356164383563</v>
      </c>
      <c r="Q11" s="208">
        <f>+Q45/Q51</f>
        <v>144.21965714285713</v>
      </c>
      <c r="R11" s="199"/>
      <c r="T11" s="206"/>
      <c r="U11" s="206"/>
      <c r="V11" s="206"/>
    </row>
    <row r="12" spans="2:22" ht="24.75" customHeight="1">
      <c r="B12" s="202" t="s">
        <v>238</v>
      </c>
      <c r="C12" s="203"/>
      <c r="D12" s="207">
        <f>+D49/D52</f>
        <v>1643.4877049180327</v>
      </c>
      <c r="E12" s="208">
        <f aca="true" t="shared" si="3" ref="E12:P12">+E49/E52</f>
        <v>503.5245901639344</v>
      </c>
      <c r="F12" s="208">
        <f t="shared" si="3"/>
        <v>640.6680327868852</v>
      </c>
      <c r="G12" s="458" t="s">
        <v>460</v>
      </c>
      <c r="H12" s="208">
        <f t="shared" si="3"/>
        <v>340.38524590163934</v>
      </c>
      <c r="I12" s="208">
        <f t="shared" si="3"/>
        <v>430.8483606557377</v>
      </c>
      <c r="J12" s="208">
        <f t="shared" si="3"/>
        <v>164.61475409836066</v>
      </c>
      <c r="K12" s="208">
        <f>+K49/K52</f>
        <v>172.86065573770492</v>
      </c>
      <c r="L12" s="208">
        <f>+L49/L52</f>
        <v>227.5983606557377</v>
      </c>
      <c r="M12" s="208">
        <f t="shared" si="3"/>
        <v>68.04152249134948</v>
      </c>
      <c r="N12" s="208">
        <f t="shared" si="3"/>
        <v>115.90573770491804</v>
      </c>
      <c r="O12" s="208">
        <f t="shared" si="3"/>
        <v>137.4248120300752</v>
      </c>
      <c r="P12" s="208">
        <f t="shared" si="3"/>
        <v>345.0245901639344</v>
      </c>
      <c r="Q12" s="208">
        <f>+Q49/Q52</f>
        <v>392.3001669449082</v>
      </c>
      <c r="R12" s="199"/>
      <c r="T12" s="206"/>
      <c r="U12" s="206"/>
      <c r="V12" s="206"/>
    </row>
    <row r="13" spans="2:22" ht="24.75" customHeight="1">
      <c r="B13" s="209" t="s">
        <v>294</v>
      </c>
      <c r="C13" s="203"/>
      <c r="D13" s="210">
        <f aca="true" t="shared" si="4" ref="D13:Q13">+((D55+D56)/(D45+D49))*1000</f>
        <v>31885.01163651279</v>
      </c>
      <c r="E13" s="208">
        <f t="shared" si="4"/>
        <v>23432.521092071478</v>
      </c>
      <c r="F13" s="208">
        <f t="shared" si="4"/>
        <v>31008.662400499452</v>
      </c>
      <c r="G13" s="458" t="s">
        <v>460</v>
      </c>
      <c r="H13" s="208">
        <f t="shared" si="4"/>
        <v>27092.67696730147</v>
      </c>
      <c r="I13" s="208">
        <f t="shared" si="4"/>
        <v>21120.71552980096</v>
      </c>
      <c r="J13" s="208">
        <f t="shared" si="4"/>
        <v>20211.08085106383</v>
      </c>
      <c r="K13" s="208">
        <f>+((K55+K56)/(K45+K49))*1000</f>
        <v>11016.898176318215</v>
      </c>
      <c r="L13" s="208">
        <f>+((L55+L56)/(L45+L49))*1000</f>
        <v>26570.617009449696</v>
      </c>
      <c r="M13" s="208">
        <f t="shared" si="4"/>
        <v>8060.779004374089</v>
      </c>
      <c r="N13" s="208">
        <f t="shared" si="4"/>
        <v>11021.31165311653</v>
      </c>
      <c r="O13" s="208">
        <f t="shared" si="4"/>
        <v>10842.155327876973</v>
      </c>
      <c r="P13" s="208">
        <f t="shared" si="4"/>
        <v>19928.943584255758</v>
      </c>
      <c r="Q13" s="211">
        <f t="shared" si="4"/>
        <v>25673.32853424885</v>
      </c>
      <c r="R13" s="199"/>
      <c r="T13" s="206"/>
      <c r="U13" s="206"/>
      <c r="V13" s="206"/>
    </row>
    <row r="14" spans="2:22" ht="24.75" customHeight="1">
      <c r="B14" s="199"/>
      <c r="C14" s="212" t="s">
        <v>239</v>
      </c>
      <c r="D14" s="213">
        <f aca="true" t="shared" si="5" ref="D14:Q14">+(D55/D45)*1000</f>
        <v>72985.8756354712</v>
      </c>
      <c r="E14" s="214">
        <f t="shared" si="5"/>
        <v>44141.41533029277</v>
      </c>
      <c r="F14" s="214">
        <f t="shared" si="5"/>
        <v>51579.48918034755</v>
      </c>
      <c r="G14" s="459" t="s">
        <v>460</v>
      </c>
      <c r="H14" s="214">
        <f t="shared" si="5"/>
        <v>49603.305048488306</v>
      </c>
      <c r="I14" s="214">
        <f t="shared" si="5"/>
        <v>29081.80656156796</v>
      </c>
      <c r="J14" s="214">
        <f t="shared" si="5"/>
        <v>32167.348256564786</v>
      </c>
      <c r="K14" s="214">
        <f>+(K55/K45)*1000</f>
        <v>21931.17382519716</v>
      </c>
      <c r="L14" s="214">
        <f>+(L55/L45)*1000</f>
        <v>45099.401441190144</v>
      </c>
      <c r="M14" s="214">
        <f t="shared" si="5"/>
        <v>17255.931812946324</v>
      </c>
      <c r="N14" s="214">
        <f t="shared" si="5"/>
        <v>20837.312261824703</v>
      </c>
      <c r="O14" s="214">
        <f t="shared" si="5"/>
        <v>20195.742844815188</v>
      </c>
      <c r="P14" s="214">
        <f t="shared" si="5"/>
        <v>32383.32134274212</v>
      </c>
      <c r="Q14" s="218">
        <f t="shared" si="5"/>
        <v>47828.86897922376</v>
      </c>
      <c r="R14" s="199"/>
      <c r="T14" s="206"/>
      <c r="U14" s="206"/>
      <c r="V14" s="206"/>
    </row>
    <row r="15" spans="2:22" ht="24.75" customHeight="1">
      <c r="B15" s="215"/>
      <c r="C15" s="216" t="s">
        <v>240</v>
      </c>
      <c r="D15" s="207">
        <f aca="true" t="shared" si="6" ref="D15:Q15">+(D56/D49)*1000</f>
        <v>15514.402348065265</v>
      </c>
      <c r="E15" s="208">
        <f t="shared" si="6"/>
        <v>11975.712192739704</v>
      </c>
      <c r="F15" s="208">
        <f t="shared" si="6"/>
        <v>17855.139678742093</v>
      </c>
      <c r="G15" s="458" t="s">
        <v>460</v>
      </c>
      <c r="H15" s="208">
        <f t="shared" si="6"/>
        <v>11888.638716979316</v>
      </c>
      <c r="I15" s="208">
        <f t="shared" si="6"/>
        <v>15255.481465275334</v>
      </c>
      <c r="J15" s="208">
        <f t="shared" si="6"/>
        <v>14679.156500522831</v>
      </c>
      <c r="K15" s="208">
        <f>+(K56/K49)*1000</f>
        <v>7046.635686850965</v>
      </c>
      <c r="L15" s="208">
        <f>+(L56/L49)*1000</f>
        <v>15087.802067202076</v>
      </c>
      <c r="M15" s="208">
        <f t="shared" si="6"/>
        <v>6030.868592351506</v>
      </c>
      <c r="N15" s="208">
        <f t="shared" si="6"/>
        <v>4827.870301615926</v>
      </c>
      <c r="O15" s="208">
        <f t="shared" si="6"/>
        <v>7283.928327178224</v>
      </c>
      <c r="P15" s="208">
        <f t="shared" si="6"/>
        <v>10264.24821229183</v>
      </c>
      <c r="Q15" s="211">
        <f t="shared" si="6"/>
        <v>13775.449619086608</v>
      </c>
      <c r="R15" s="199"/>
      <c r="T15" s="206"/>
      <c r="U15" s="206"/>
      <c r="V15" s="206"/>
    </row>
    <row r="16" spans="2:22" ht="24.75" customHeight="1">
      <c r="B16" s="209" t="s">
        <v>241</v>
      </c>
      <c r="C16" s="203"/>
      <c r="D16" s="207">
        <f>+(D60/(D45+D49))*1000</f>
        <v>5266.362898695462</v>
      </c>
      <c r="E16" s="208">
        <f aca="true" t="shared" si="7" ref="E16:Q16">+(E60/(E45+E49))*1000</f>
        <v>2735.895823507834</v>
      </c>
      <c r="F16" s="208">
        <f t="shared" si="7"/>
        <v>5892.125799906353</v>
      </c>
      <c r="G16" s="458" t="s">
        <v>460</v>
      </c>
      <c r="H16" s="208">
        <f t="shared" si="7"/>
        <v>1666.891843334531</v>
      </c>
      <c r="I16" s="208">
        <f t="shared" si="7"/>
        <v>2868.3740647832706</v>
      </c>
      <c r="J16" s="208">
        <f t="shared" si="7"/>
        <v>3266.5021276595744</v>
      </c>
      <c r="K16" s="208">
        <f>+(K60/(K45+K49))*1000</f>
        <v>1212.5310756071697</v>
      </c>
      <c r="L16" s="208">
        <f>+(L60/(L45+L49))*1000</f>
        <v>3078.3879933296275</v>
      </c>
      <c r="M16" s="208">
        <f t="shared" si="7"/>
        <v>1269.6104978129556</v>
      </c>
      <c r="N16" s="208">
        <f t="shared" si="7"/>
        <v>437.9620596205962</v>
      </c>
      <c r="O16" s="208">
        <f t="shared" si="7"/>
        <v>650.2249261806148</v>
      </c>
      <c r="P16" s="208">
        <f t="shared" si="7"/>
        <v>1688.22526167943</v>
      </c>
      <c r="Q16" s="211">
        <f t="shared" si="7"/>
        <v>3663.1413699540394</v>
      </c>
      <c r="R16" s="199"/>
      <c r="T16" s="206"/>
      <c r="U16" s="206"/>
      <c r="V16" s="206"/>
    </row>
    <row r="17" spans="2:22" ht="24.75" customHeight="1">
      <c r="B17" s="199"/>
      <c r="C17" s="217" t="s">
        <v>181</v>
      </c>
      <c r="D17" s="213">
        <f>(+D58/(D45+D49))*1000</f>
        <v>1803.8895378387297</v>
      </c>
      <c r="E17" s="214">
        <f aca="true" t="shared" si="8" ref="E17:Q17">(+E58/(E45+E49))*1000</f>
        <v>742.7081695750144</v>
      </c>
      <c r="F17" s="214">
        <f t="shared" si="8"/>
        <v>2094.061183081005</v>
      </c>
      <c r="G17" s="459" t="s">
        <v>460</v>
      </c>
      <c r="H17" s="214">
        <f t="shared" si="8"/>
        <v>331.0887531440891</v>
      </c>
      <c r="I17" s="214">
        <f t="shared" si="8"/>
        <v>745.4950760770739</v>
      </c>
      <c r="J17" s="214">
        <f t="shared" si="8"/>
        <v>2658.859574468085</v>
      </c>
      <c r="K17" s="214">
        <f>(+K58/(K45+K49))*1000</f>
        <v>262.1129674379792</v>
      </c>
      <c r="L17" s="214">
        <f>(+L58/(L45+L49))*1000</f>
        <v>392.9516397998888</v>
      </c>
      <c r="M17" s="214">
        <f t="shared" si="8"/>
        <v>591.7517183920016</v>
      </c>
      <c r="N17" s="214">
        <f t="shared" si="8"/>
        <v>112.88888888888889</v>
      </c>
      <c r="O17" s="214">
        <f t="shared" si="8"/>
        <v>399.21919898535504</v>
      </c>
      <c r="P17" s="214">
        <f t="shared" si="8"/>
        <v>375.26000735712137</v>
      </c>
      <c r="Q17" s="218">
        <f t="shared" si="8"/>
        <v>1204.0411982944793</v>
      </c>
      <c r="R17" s="199"/>
      <c r="T17" s="206"/>
      <c r="U17" s="206"/>
      <c r="V17" s="206"/>
    </row>
    <row r="18" spans="2:22" ht="24.75" customHeight="1">
      <c r="B18" s="215"/>
      <c r="C18" s="219" t="s">
        <v>182</v>
      </c>
      <c r="D18" s="207">
        <f>(+D59/(D45+D49))*1000</f>
        <v>3462.4733608567326</v>
      </c>
      <c r="E18" s="208">
        <f aca="true" t="shared" si="9" ref="E18:Q18">(+E59/(E45+E49))*1000</f>
        <v>1993.1876539328198</v>
      </c>
      <c r="F18" s="208">
        <f t="shared" si="9"/>
        <v>3798.0646168253475</v>
      </c>
      <c r="G18" s="458" t="s">
        <v>460</v>
      </c>
      <c r="H18" s="208">
        <f t="shared" si="9"/>
        <v>1335.8030901904422</v>
      </c>
      <c r="I18" s="208">
        <f t="shared" si="9"/>
        <v>2122.878988706197</v>
      </c>
      <c r="J18" s="208">
        <f t="shared" si="9"/>
        <v>607.6425531914894</v>
      </c>
      <c r="K18" s="208">
        <f>(+K59/(K45+K49))*1000</f>
        <v>950.4181081691904</v>
      </c>
      <c r="L18" s="208">
        <f>(+L59/(L45+L49))*1000</f>
        <v>2685.4363535297384</v>
      </c>
      <c r="M18" s="208">
        <f t="shared" si="9"/>
        <v>677.858779420954</v>
      </c>
      <c r="N18" s="208">
        <f t="shared" si="9"/>
        <v>325.0731707317073</v>
      </c>
      <c r="O18" s="208">
        <f t="shared" si="9"/>
        <v>251.0057271952597</v>
      </c>
      <c r="P18" s="208">
        <f t="shared" si="9"/>
        <v>1312.9652543223087</v>
      </c>
      <c r="Q18" s="211">
        <f t="shared" si="9"/>
        <v>2459.10017165956</v>
      </c>
      <c r="R18" s="199"/>
      <c r="T18" s="206"/>
      <c r="U18" s="206"/>
      <c r="V18" s="206"/>
    </row>
    <row r="19" spans="2:22" ht="24.75" customHeight="1">
      <c r="B19" s="202" t="s">
        <v>242</v>
      </c>
      <c r="C19" s="203"/>
      <c r="D19" s="298">
        <f>(D62/D45)*1000</f>
        <v>7.3689614585159395</v>
      </c>
      <c r="E19" s="287">
        <f aca="true" t="shared" si="10" ref="E19:Q19">(E62/E45)*1000</f>
        <v>35.54509342356922</v>
      </c>
      <c r="F19" s="287">
        <f t="shared" si="10"/>
        <v>710.125353902178</v>
      </c>
      <c r="G19" s="460" t="s">
        <v>460</v>
      </c>
      <c r="H19" s="287">
        <f t="shared" si="10"/>
        <v>0</v>
      </c>
      <c r="I19" s="287">
        <f t="shared" si="10"/>
        <v>0</v>
      </c>
      <c r="J19" s="287">
        <f t="shared" si="10"/>
        <v>0</v>
      </c>
      <c r="K19" s="287">
        <f>(K62/K45)*1000</f>
        <v>0</v>
      </c>
      <c r="L19" s="287">
        <f>(L62/L45)*1000</f>
        <v>25.10460251046025</v>
      </c>
      <c r="M19" s="287">
        <f t="shared" si="10"/>
        <v>612.531674729325</v>
      </c>
      <c r="N19" s="287">
        <f t="shared" si="10"/>
        <v>600.9302846895315</v>
      </c>
      <c r="O19" s="287">
        <f t="shared" si="10"/>
        <v>0</v>
      </c>
      <c r="P19" s="287">
        <f t="shared" si="10"/>
        <v>549.4190941235898</v>
      </c>
      <c r="Q19" s="287">
        <f t="shared" si="10"/>
        <v>197.6572244560282</v>
      </c>
      <c r="R19" s="199"/>
      <c r="T19" s="206"/>
      <c r="U19" s="206"/>
      <c r="V19" s="206"/>
    </row>
    <row r="20" spans="2:22" ht="24.75" customHeight="1">
      <c r="B20" s="202" t="s">
        <v>243</v>
      </c>
      <c r="C20" s="203"/>
      <c r="D20" s="204">
        <f>(+D64/D58)*100</f>
        <v>100</v>
      </c>
      <c r="E20" s="205">
        <f aca="true" t="shared" si="11" ref="E20:Q20">(+E64/E58)*100</f>
        <v>94.76049699783393</v>
      </c>
      <c r="F20" s="205">
        <f t="shared" si="11"/>
        <v>103.66168156730629</v>
      </c>
      <c r="G20" s="457" t="s">
        <v>460</v>
      </c>
      <c r="H20" s="205">
        <f t="shared" si="11"/>
        <v>66.065420763604</v>
      </c>
      <c r="I20" s="205">
        <f t="shared" si="11"/>
        <v>92.73607570291894</v>
      </c>
      <c r="J20" s="205">
        <f t="shared" si="11"/>
        <v>109.8260012291304</v>
      </c>
      <c r="K20" s="205">
        <f>(+K64/K58)*100</f>
        <v>100.27857000729587</v>
      </c>
      <c r="L20" s="205">
        <f>(+L64/L58)*100</f>
        <v>100</v>
      </c>
      <c r="M20" s="205">
        <f t="shared" si="11"/>
        <v>102.54839845124957</v>
      </c>
      <c r="N20" s="205">
        <f t="shared" si="11"/>
        <v>100.01920491645862</v>
      </c>
      <c r="O20" s="205">
        <f t="shared" si="11"/>
        <v>103.55919583023083</v>
      </c>
      <c r="P20" s="205">
        <f t="shared" si="11"/>
        <v>117.34721157787797</v>
      </c>
      <c r="Q20" s="205">
        <f t="shared" si="11"/>
        <v>100.59364103205606</v>
      </c>
      <c r="R20" s="199"/>
      <c r="T20" s="206"/>
      <c r="U20" s="206"/>
      <c r="V20" s="206"/>
    </row>
    <row r="21" spans="2:22" ht="24.75" customHeight="1">
      <c r="B21" s="202" t="s">
        <v>244</v>
      </c>
      <c r="C21" s="203"/>
      <c r="D21" s="204">
        <f>(+D65/D59)*100</f>
        <v>99.9907289611801</v>
      </c>
      <c r="E21" s="205">
        <f aca="true" t="shared" si="12" ref="E21:Q21">(+E65/E59)*100</f>
        <v>73.92812072773162</v>
      </c>
      <c r="F21" s="205">
        <f t="shared" si="12"/>
        <v>81.8400646004389</v>
      </c>
      <c r="G21" s="457" t="s">
        <v>460</v>
      </c>
      <c r="H21" s="205">
        <f t="shared" si="12"/>
        <v>76.01263200933951</v>
      </c>
      <c r="I21" s="205">
        <f t="shared" si="12"/>
        <v>87.69966278886766</v>
      </c>
      <c r="J21" s="205">
        <f t="shared" si="12"/>
        <v>115.98644219726042</v>
      </c>
      <c r="K21" s="205">
        <f>(+K65/K59)*100</f>
        <v>100</v>
      </c>
      <c r="L21" s="205">
        <f>(+L65/L59)*100</f>
        <v>100</v>
      </c>
      <c r="M21" s="205">
        <f t="shared" si="12"/>
        <v>101.33972468043264</v>
      </c>
      <c r="N21" s="205">
        <f t="shared" si="12"/>
        <v>100.01333866880084</v>
      </c>
      <c r="O21" s="205">
        <f t="shared" si="12"/>
        <v>155.24238117795676</v>
      </c>
      <c r="P21" s="205">
        <f t="shared" si="12"/>
        <v>69.55192860199278</v>
      </c>
      <c r="Q21" s="205">
        <f t="shared" si="12"/>
        <v>90.65007028998022</v>
      </c>
      <c r="R21" s="199"/>
      <c r="T21" s="206"/>
      <c r="U21" s="206"/>
      <c r="V21" s="206"/>
    </row>
    <row r="22" spans="2:22" ht="24.75" customHeight="1">
      <c r="B22" s="199" t="s">
        <v>183</v>
      </c>
      <c r="C22" s="217" t="s">
        <v>184</v>
      </c>
      <c r="D22" s="220">
        <f>(SUM(D67:D70)/(D55+D56))*100</f>
        <v>16.515728303563467</v>
      </c>
      <c r="E22" s="221">
        <f aca="true" t="shared" si="13" ref="E22:Q22">(SUM(E67:E70)/(E55+E56))*100</f>
        <v>9.29187311645781</v>
      </c>
      <c r="F22" s="221">
        <f t="shared" si="13"/>
        <v>17.02452528658974</v>
      </c>
      <c r="G22" s="461" t="s">
        <v>460</v>
      </c>
      <c r="H22" s="221">
        <f t="shared" si="13"/>
        <v>4.555158084492457</v>
      </c>
      <c r="I22" s="221">
        <f t="shared" si="13"/>
        <v>12.088134935679836</v>
      </c>
      <c r="J22" s="221">
        <f t="shared" si="13"/>
        <v>17.935221546891068</v>
      </c>
      <c r="K22" s="221">
        <f>(SUM(K67:K70)/(K55+K56))*100</f>
        <v>11.012729938157149</v>
      </c>
      <c r="L22" s="221">
        <f>(SUM(L67:L70)/(L55+L56))*100</f>
        <v>11.585685015273887</v>
      </c>
      <c r="M22" s="221">
        <f t="shared" si="13"/>
        <v>16.050212145799204</v>
      </c>
      <c r="N22" s="221">
        <f t="shared" si="13"/>
        <v>3.974364522639557</v>
      </c>
      <c r="O22" s="221">
        <f t="shared" si="13"/>
        <v>7.407156931197976</v>
      </c>
      <c r="P22" s="221">
        <f t="shared" si="13"/>
        <v>6.791879385543933</v>
      </c>
      <c r="Q22" s="222">
        <f t="shared" si="13"/>
        <v>13.400540994952404</v>
      </c>
      <c r="R22" s="199"/>
      <c r="T22" s="206"/>
      <c r="U22" s="206"/>
      <c r="V22" s="206"/>
    </row>
    <row r="23" spans="2:22" ht="24.75" customHeight="1">
      <c r="B23" s="199" t="s">
        <v>185</v>
      </c>
      <c r="C23" s="217" t="s">
        <v>186</v>
      </c>
      <c r="D23" s="220">
        <f>+((D71+D72)/(D$55+D$56))*100</f>
        <v>8.777265582798005</v>
      </c>
      <c r="E23" s="221">
        <f aca="true" t="shared" si="14" ref="E23:Q23">+((E71+E72)/(E$55+E$56))*100</f>
        <v>7.971816975830727</v>
      </c>
      <c r="F23" s="221">
        <f t="shared" si="14"/>
        <v>8.033723842001283</v>
      </c>
      <c r="G23" s="461" t="s">
        <v>460</v>
      </c>
      <c r="H23" s="221">
        <f t="shared" si="14"/>
        <v>7.887778763939855</v>
      </c>
      <c r="I23" s="221">
        <f t="shared" si="14"/>
        <v>8.461486995672917</v>
      </c>
      <c r="J23" s="221">
        <f t="shared" si="14"/>
        <v>6.657060251759936</v>
      </c>
      <c r="K23" s="221">
        <f>+((K71+K72)/(K$55+K$56))*100</f>
        <v>5.718451703716094</v>
      </c>
      <c r="L23" s="221">
        <f>+((L71+L72)/(L$55+L$56))*100</f>
        <v>10.08222919657393</v>
      </c>
      <c r="M23" s="221">
        <f t="shared" si="14"/>
        <v>10.485842304094595</v>
      </c>
      <c r="N23" s="221">
        <f t="shared" si="14"/>
        <v>6.355560451492846</v>
      </c>
      <c r="O23" s="221">
        <f t="shared" si="14"/>
        <v>11.203130654754288</v>
      </c>
      <c r="P23" s="221">
        <f t="shared" si="14"/>
        <v>7.662678761046503</v>
      </c>
      <c r="Q23" s="223">
        <f t="shared" si="14"/>
        <v>8.382279201571306</v>
      </c>
      <c r="R23" s="199"/>
      <c r="T23" s="206"/>
      <c r="U23" s="206"/>
      <c r="V23" s="206"/>
    </row>
    <row r="24" spans="2:22" ht="24.75" customHeight="1">
      <c r="B24" s="215" t="s">
        <v>187</v>
      </c>
      <c r="C24" s="219" t="s">
        <v>188</v>
      </c>
      <c r="D24" s="204">
        <f>+((D73+D74)/(D$55+D$56))*100</f>
        <v>5.322399265016548</v>
      </c>
      <c r="E24" s="205">
        <f aca="true" t="shared" si="15" ref="E24:Q24">+((E73+E74)/(E$55+E$56))*100</f>
        <v>6.700177206154</v>
      </c>
      <c r="F24" s="205">
        <f t="shared" si="15"/>
        <v>4.618870251292957</v>
      </c>
      <c r="G24" s="457" t="s">
        <v>460</v>
      </c>
      <c r="H24" s="205">
        <f t="shared" si="15"/>
        <v>5.634722619369084</v>
      </c>
      <c r="I24" s="205">
        <f t="shared" si="15"/>
        <v>5.934295564157049</v>
      </c>
      <c r="J24" s="205">
        <f t="shared" si="15"/>
        <v>5.035198723935721</v>
      </c>
      <c r="K24" s="205">
        <f>+((K73+K74)/(K$55+K$56))*100</f>
        <v>3.9895660901084575</v>
      </c>
      <c r="L24" s="205">
        <f>+((L73+L74)/(L$55+L$56))*100</f>
        <v>10.15758399382099</v>
      </c>
      <c r="M24" s="205">
        <f t="shared" si="15"/>
        <v>3.413971131633755</v>
      </c>
      <c r="N24" s="205">
        <f t="shared" si="15"/>
        <v>3.4939943897804304</v>
      </c>
      <c r="O24" s="205">
        <f t="shared" si="15"/>
        <v>4.720657422876006</v>
      </c>
      <c r="P24" s="205">
        <f t="shared" si="15"/>
        <v>4.489380724615696</v>
      </c>
      <c r="Q24" s="205">
        <f t="shared" si="15"/>
        <v>5.546013559297467</v>
      </c>
      <c r="R24" s="199"/>
      <c r="T24" s="206"/>
      <c r="U24" s="206"/>
      <c r="V24" s="206"/>
    </row>
    <row r="25" spans="2:22" ht="24.75" customHeight="1">
      <c r="B25" s="224" t="s">
        <v>245</v>
      </c>
      <c r="C25" s="225"/>
      <c r="D25" s="220">
        <f>+(D76/D$54)*100</f>
        <v>43.031834487982145</v>
      </c>
      <c r="E25" s="221">
        <f aca="true" t="shared" si="16" ref="E25:Q25">+(E76/E54)*100</f>
        <v>71.46648858748775</v>
      </c>
      <c r="F25" s="221">
        <f t="shared" si="16"/>
        <v>48.44198424139991</v>
      </c>
      <c r="G25" s="461" t="s">
        <v>460</v>
      </c>
      <c r="H25" s="221">
        <f t="shared" si="16"/>
        <v>60.25137670135169</v>
      </c>
      <c r="I25" s="221">
        <f t="shared" si="16"/>
        <v>56.33247914748834</v>
      </c>
      <c r="J25" s="221">
        <f t="shared" si="16"/>
        <v>62.511531796591576</v>
      </c>
      <c r="K25" s="221">
        <f>+(K76/K54)*100</f>
        <v>122.1605049594229</v>
      </c>
      <c r="L25" s="221">
        <f>+(L76/L54)*100</f>
        <v>74.49670329670329</v>
      </c>
      <c r="M25" s="221">
        <f t="shared" si="16"/>
        <v>145.43267742648683</v>
      </c>
      <c r="N25" s="221">
        <f t="shared" si="16"/>
        <v>66.21986211189464</v>
      </c>
      <c r="O25" s="221">
        <f t="shared" si="16"/>
        <v>72.8526036044026</v>
      </c>
      <c r="P25" s="221">
        <f t="shared" si="16"/>
        <v>64.70434872314286</v>
      </c>
      <c r="Q25" s="222">
        <f t="shared" si="16"/>
        <v>55.246464378991554</v>
      </c>
      <c r="R25" s="226"/>
      <c r="T25" s="206"/>
      <c r="U25" s="206"/>
      <c r="V25" s="206"/>
    </row>
    <row r="26" spans="2:22" ht="24.75" customHeight="1">
      <c r="B26" s="224" t="s">
        <v>246</v>
      </c>
      <c r="C26" s="225"/>
      <c r="D26" s="220">
        <f>+(D77/D$54)*100</f>
        <v>29.588481246798647</v>
      </c>
      <c r="E26" s="221">
        <f aca="true" t="shared" si="17" ref="E26:Q26">+(E77/E$54)*100</f>
        <v>19.832176882888515</v>
      </c>
      <c r="F26" s="221">
        <f t="shared" si="17"/>
        <v>28.483481471464707</v>
      </c>
      <c r="G26" s="461" t="s">
        <v>460</v>
      </c>
      <c r="H26" s="221">
        <f t="shared" si="17"/>
        <v>21.07719666654003</v>
      </c>
      <c r="I26" s="221">
        <f t="shared" si="17"/>
        <v>22.816098914175992</v>
      </c>
      <c r="J26" s="221">
        <f t="shared" si="17"/>
        <v>22.877136499071224</v>
      </c>
      <c r="K26" s="221">
        <f>+(K77/K$54)*100</f>
        <v>17.267736699729486</v>
      </c>
      <c r="L26" s="221">
        <f>+(L77/L$54)*100</f>
        <v>22.422454212454213</v>
      </c>
      <c r="M26" s="221">
        <f t="shared" si="17"/>
        <v>18.106566438204734</v>
      </c>
      <c r="N26" s="221">
        <f t="shared" si="17"/>
        <v>8.08846800125194</v>
      </c>
      <c r="O26" s="221">
        <f t="shared" si="17"/>
        <v>9.649407166601936</v>
      </c>
      <c r="P26" s="221">
        <f t="shared" si="17"/>
        <v>16.8721767374104</v>
      </c>
      <c r="Q26" s="223">
        <f t="shared" si="17"/>
        <v>25.00937725559911</v>
      </c>
      <c r="R26" s="226"/>
      <c r="T26" s="206"/>
      <c r="U26" s="206"/>
      <c r="V26" s="206"/>
    </row>
    <row r="27" spans="2:22" ht="24.75" customHeight="1">
      <c r="B27" s="280" t="s">
        <v>247</v>
      </c>
      <c r="C27" s="203"/>
      <c r="D27" s="204">
        <f>+(D78/D$54)*100</f>
        <v>15.993445450419735</v>
      </c>
      <c r="E27" s="205">
        <f aca="true" t="shared" si="18" ref="E27:Q27">+(E78/E$54)*100</f>
        <v>10.684975858619431</v>
      </c>
      <c r="F27" s="205">
        <f t="shared" si="18"/>
        <v>18.512830389880012</v>
      </c>
      <c r="G27" s="457" t="s">
        <v>460</v>
      </c>
      <c r="H27" s="205">
        <f t="shared" si="18"/>
        <v>5.612745530998859</v>
      </c>
      <c r="I27" s="205">
        <f t="shared" si="18"/>
        <v>12.970102504778017</v>
      </c>
      <c r="J27" s="205">
        <f t="shared" si="18"/>
        <v>14.95292221959034</v>
      </c>
      <c r="K27" s="205">
        <f>+(K78/K$54)*100</f>
        <v>10.062542831379622</v>
      </c>
      <c r="L27" s="205">
        <f>+(L78/L$54)*100</f>
        <v>10.142893772893773</v>
      </c>
      <c r="M27" s="205">
        <f t="shared" si="18"/>
        <v>13.476453681185054</v>
      </c>
      <c r="N27" s="205">
        <f t="shared" si="18"/>
        <v>3.53218059390152</v>
      </c>
      <c r="O27" s="205">
        <f t="shared" si="18"/>
        <v>5.0171412493998275</v>
      </c>
      <c r="P27" s="205">
        <f t="shared" si="18"/>
        <v>7.890755172920437</v>
      </c>
      <c r="Q27" s="205">
        <f t="shared" si="18"/>
        <v>13.490944238653316</v>
      </c>
      <c r="R27" s="226"/>
      <c r="T27" s="206"/>
      <c r="U27" s="206"/>
      <c r="V27" s="206"/>
    </row>
    <row r="28" spans="2:22" ht="24.75" customHeight="1">
      <c r="B28" s="202" t="s">
        <v>248</v>
      </c>
      <c r="C28" s="203"/>
      <c r="D28" s="207">
        <f>+((D$55+D$56)/D80)*1000</f>
        <v>316650.5853390716</v>
      </c>
      <c r="E28" s="208">
        <f aca="true" t="shared" si="19" ref="E28:Q28">+((E$55+E$56)/E80)*1000</f>
        <v>255916.44251130315</v>
      </c>
      <c r="F28" s="208">
        <f t="shared" si="19"/>
        <v>433995.9587133417</v>
      </c>
      <c r="G28" s="458" t="s">
        <v>460</v>
      </c>
      <c r="H28" s="208">
        <f t="shared" si="19"/>
        <v>259031.60643122162</v>
      </c>
      <c r="I28" s="208">
        <f t="shared" si="19"/>
        <v>660304.4520547945</v>
      </c>
      <c r="J28" s="208">
        <f t="shared" si="19"/>
        <v>434627.0131771596</v>
      </c>
      <c r="K28" s="208">
        <f>+((K$55+K$56)/K80)*1000</f>
        <v>271276.9691780822</v>
      </c>
      <c r="L28" s="208">
        <f>+((L$55+L$56)/L80)*1000</f>
        <v>349163.91526661796</v>
      </c>
      <c r="M28" s="208">
        <f t="shared" si="19"/>
        <v>165666.9520547945</v>
      </c>
      <c r="N28" s="208">
        <f t="shared" si="19"/>
        <v>331609.91519895627</v>
      </c>
      <c r="O28" s="208">
        <f t="shared" si="19"/>
        <v>241761.3787008396</v>
      </c>
      <c r="P28" s="208">
        <f t="shared" si="19"/>
        <v>303244.0464074903</v>
      </c>
      <c r="Q28" s="227">
        <f t="shared" si="19"/>
        <v>332726.66207371687</v>
      </c>
      <c r="R28" s="199"/>
      <c r="T28" s="206"/>
      <c r="U28" s="206"/>
      <c r="V28" s="206"/>
    </row>
    <row r="29" spans="2:22" ht="24.75" customHeight="1">
      <c r="B29" s="202" t="s">
        <v>249</v>
      </c>
      <c r="C29" s="203"/>
      <c r="D29" s="207">
        <f>+((D$55+D$56)/D81)*1000</f>
        <v>83232.66358794831</v>
      </c>
      <c r="E29" s="208">
        <f aca="true" t="shared" si="20" ref="E29:Q29">+((E$55+E$56)/E81)*1000</f>
        <v>48250.639330995415</v>
      </c>
      <c r="F29" s="208">
        <f t="shared" si="20"/>
        <v>59003.60099491406</v>
      </c>
      <c r="G29" s="458" t="s">
        <v>460</v>
      </c>
      <c r="H29" s="208">
        <f t="shared" si="20"/>
        <v>58999.43660208457</v>
      </c>
      <c r="I29" s="208">
        <f t="shared" si="20"/>
        <v>52323.34224344971</v>
      </c>
      <c r="J29" s="208">
        <f t="shared" si="20"/>
        <v>46091.180808943405</v>
      </c>
      <c r="K29" s="208">
        <f>+((K$55+K$56)/K81)*1000</f>
        <v>42229.974676795944</v>
      </c>
      <c r="L29" s="208">
        <f>+((L$55+L$56)/L81)*1000</f>
        <v>41712.22381234947</v>
      </c>
      <c r="M29" s="208">
        <f t="shared" si="20"/>
        <v>24097.011207970114</v>
      </c>
      <c r="N29" s="208">
        <f t="shared" si="20"/>
        <v>32799.40641331699</v>
      </c>
      <c r="O29" s="208">
        <f t="shared" si="20"/>
        <v>36031.74394099051</v>
      </c>
      <c r="P29" s="208">
        <f t="shared" si="20"/>
        <v>40759.41124972642</v>
      </c>
      <c r="Q29" s="227">
        <f t="shared" si="20"/>
        <v>58714.09032885539</v>
      </c>
      <c r="R29" s="199"/>
      <c r="T29" s="206"/>
      <c r="U29" s="206"/>
      <c r="V29" s="206"/>
    </row>
    <row r="30" spans="2:22" s="233" customFormat="1" ht="24.75" customHeight="1">
      <c r="B30" s="228" t="s">
        <v>250</v>
      </c>
      <c r="C30" s="229"/>
      <c r="D30" s="230">
        <f>+((D83+D84+D85+D92)/D86)*100</f>
        <v>44.70384815841709</v>
      </c>
      <c r="E30" s="231">
        <f aca="true" t="shared" si="21" ref="E30:Q30">+((E83+E84+E85+E92)/E86)*100</f>
        <v>17.87081154334989</v>
      </c>
      <c r="F30" s="231">
        <f t="shared" si="21"/>
        <v>29.607367124126956</v>
      </c>
      <c r="G30" s="458" t="s">
        <v>460</v>
      </c>
      <c r="H30" s="231">
        <f t="shared" si="21"/>
        <v>-24.478896460237735</v>
      </c>
      <c r="I30" s="231">
        <f t="shared" si="21"/>
        <v>12.91248526051432</v>
      </c>
      <c r="J30" s="231">
        <f t="shared" si="21"/>
        <v>85.85465888345672</v>
      </c>
      <c r="K30" s="281">
        <f t="shared" si="21"/>
        <v>25.363370313227048</v>
      </c>
      <c r="L30" s="231">
        <f t="shared" si="21"/>
        <v>26.83276593847326</v>
      </c>
      <c r="M30" s="231">
        <f t="shared" si="21"/>
        <v>77.07500814018886</v>
      </c>
      <c r="N30" s="231">
        <f t="shared" si="21"/>
        <v>46.71545302903352</v>
      </c>
      <c r="O30" s="231">
        <f t="shared" si="21"/>
        <v>29.642581325018586</v>
      </c>
      <c r="P30" s="231">
        <f t="shared" si="21"/>
        <v>49.32551971526488</v>
      </c>
      <c r="Q30" s="231">
        <f t="shared" si="21"/>
        <v>33.701566092163674</v>
      </c>
      <c r="R30" s="232"/>
      <c r="T30" s="234"/>
      <c r="U30" s="234"/>
      <c r="V30" s="234"/>
    </row>
    <row r="31" spans="2:22" s="233" customFormat="1" ht="24.75" customHeight="1">
      <c r="B31" s="228" t="s">
        <v>251</v>
      </c>
      <c r="C31" s="229"/>
      <c r="D31" s="230">
        <f>+((D87)/(D83+D84+D85+D88+D92))*100</f>
        <v>67.43141677813043</v>
      </c>
      <c r="E31" s="231">
        <f aca="true" t="shared" si="22" ref="E31:Q31">+((E87)/(E83+E84+E85+E88+E92))*100</f>
        <v>103.76598250723497</v>
      </c>
      <c r="F31" s="231">
        <f t="shared" si="22"/>
        <v>86.31720935362645</v>
      </c>
      <c r="G31" s="458" t="s">
        <v>460</v>
      </c>
      <c r="H31" s="231">
        <f t="shared" si="22"/>
        <v>122.21593759771152</v>
      </c>
      <c r="I31" s="231">
        <f t="shared" si="22"/>
        <v>105.99696896272005</v>
      </c>
      <c r="J31" s="231">
        <f t="shared" si="22"/>
        <v>90.30566832812316</v>
      </c>
      <c r="K31" s="281">
        <f t="shared" si="22"/>
        <v>105.63968998335878</v>
      </c>
      <c r="L31" s="231">
        <f t="shared" si="22"/>
        <v>99.21771141309478</v>
      </c>
      <c r="M31" s="231">
        <f t="shared" si="22"/>
        <v>57.591563938808854</v>
      </c>
      <c r="N31" s="231">
        <f t="shared" si="22"/>
        <v>67.38042100960556</v>
      </c>
      <c r="O31" s="231">
        <f t="shared" si="22"/>
        <v>71.52890828044228</v>
      </c>
      <c r="P31" s="231">
        <f t="shared" si="22"/>
        <v>76.4270325950997</v>
      </c>
      <c r="Q31" s="231">
        <f t="shared" si="22"/>
        <v>82.75016439248634</v>
      </c>
      <c r="R31" s="232"/>
      <c r="T31" s="234"/>
      <c r="U31" s="234"/>
      <c r="V31" s="235"/>
    </row>
    <row r="32" spans="2:22" s="233" customFormat="1" ht="24.75" customHeight="1">
      <c r="B32" s="228" t="s">
        <v>252</v>
      </c>
      <c r="C32" s="229"/>
      <c r="D32" s="230">
        <f>+(D87/(D83+D84+D85+D92))*100</f>
        <v>138.9662145294106</v>
      </c>
      <c r="E32" s="231">
        <f aca="true" t="shared" si="23" ref="E32:Q32">+(E87/(E83+E84+E85+E92))*100</f>
        <v>425.1780649859139</v>
      </c>
      <c r="F32" s="231">
        <f t="shared" si="23"/>
        <v>248.75536026876836</v>
      </c>
      <c r="G32" s="458" t="s">
        <v>460</v>
      </c>
      <c r="H32" s="231">
        <f t="shared" si="23"/>
        <v>-358.9636726866088</v>
      </c>
      <c r="I32" s="231">
        <f t="shared" si="23"/>
        <v>632.5408457990258</v>
      </c>
      <c r="J32" s="231">
        <f t="shared" si="23"/>
        <v>98.35963036264144</v>
      </c>
      <c r="K32" s="281">
        <f t="shared" si="23"/>
        <v>348.8329588893238</v>
      </c>
      <c r="L32" s="231">
        <f t="shared" si="23"/>
        <v>302.4949545772706</v>
      </c>
      <c r="M32" s="231">
        <f t="shared" si="23"/>
        <v>69.80667863623708</v>
      </c>
      <c r="N32" s="231">
        <f t="shared" si="23"/>
        <v>135.62542988122937</v>
      </c>
      <c r="O32" s="231">
        <f t="shared" si="23"/>
        <v>198.19208901983222</v>
      </c>
      <c r="P32" s="231">
        <f t="shared" si="23"/>
        <v>133.74564887485576</v>
      </c>
      <c r="Q32" s="231">
        <f t="shared" si="23"/>
        <v>211.08536416760694</v>
      </c>
      <c r="R32" s="232"/>
      <c r="T32" s="234"/>
      <c r="U32" s="234"/>
      <c r="V32" s="234"/>
    </row>
    <row r="33" spans="2:22" s="233" customFormat="1" ht="24.75" customHeight="1">
      <c r="B33" s="228" t="s">
        <v>253</v>
      </c>
      <c r="C33" s="229"/>
      <c r="D33" s="230">
        <f>(+D89/D90)*100</f>
        <v>481.16066709888185</v>
      </c>
      <c r="E33" s="231">
        <f>(+E89/E90)*100</f>
        <v>89.70062253651386</v>
      </c>
      <c r="F33" s="231">
        <f aca="true" t="shared" si="24" ref="F33:Q33">(+F89/F90)*100</f>
        <v>179.55417555523562</v>
      </c>
      <c r="G33" s="462" t="s">
        <v>460</v>
      </c>
      <c r="H33" s="231">
        <f t="shared" si="24"/>
        <v>43.162367739741896</v>
      </c>
      <c r="I33" s="231">
        <f t="shared" si="24"/>
        <v>79.85985384931863</v>
      </c>
      <c r="J33" s="231">
        <f t="shared" si="24"/>
        <v>239.7171416886184</v>
      </c>
      <c r="K33" s="281">
        <f>(+K89/K90)*100</f>
        <v>70.92873965412826</v>
      </c>
      <c r="L33" s="231">
        <f>(+L89/L90)*100</f>
        <v>103.5178280711507</v>
      </c>
      <c r="M33" s="231">
        <f t="shared" si="24"/>
        <v>702.3457936039152</v>
      </c>
      <c r="N33" s="231">
        <f t="shared" si="24"/>
        <v>613.8024723152201</v>
      </c>
      <c r="O33" s="231">
        <f t="shared" si="24"/>
        <v>230.88420946321264</v>
      </c>
      <c r="P33" s="231">
        <f t="shared" si="24"/>
        <v>248.72604753031572</v>
      </c>
      <c r="Q33" s="231">
        <f t="shared" si="24"/>
        <v>205.68663334517026</v>
      </c>
      <c r="R33" s="232"/>
      <c r="T33" s="234"/>
      <c r="U33" s="234"/>
      <c r="V33" s="234"/>
    </row>
    <row r="34" spans="2:22" s="233" customFormat="1" ht="24.75" customHeight="1">
      <c r="B34" s="228" t="s">
        <v>254</v>
      </c>
      <c r="C34" s="229"/>
      <c r="D34" s="230">
        <f>(+D95/D96)*100</f>
        <v>90.20564781783594</v>
      </c>
      <c r="E34" s="231">
        <f aca="true" t="shared" si="25" ref="E34:Q34">(+E95/E96)*100</f>
        <v>74.90698813454098</v>
      </c>
      <c r="F34" s="231">
        <f t="shared" si="25"/>
        <v>103.18885890342023</v>
      </c>
      <c r="G34" s="462" t="s">
        <v>460</v>
      </c>
      <c r="H34" s="231">
        <f t="shared" si="25"/>
        <v>85.22103837271573</v>
      </c>
      <c r="I34" s="231">
        <f t="shared" si="25"/>
        <v>97.93791365250215</v>
      </c>
      <c r="J34" s="231">
        <f t="shared" si="25"/>
        <v>89.47493229306683</v>
      </c>
      <c r="K34" s="231">
        <f>(+K95/K96)*100</f>
        <v>87.1284015295573</v>
      </c>
      <c r="L34" s="231">
        <f>(+L95/L96)*100</f>
        <v>96.62194629107546</v>
      </c>
      <c r="M34" s="231">
        <f t="shared" si="25"/>
        <v>75.70024433926847</v>
      </c>
      <c r="N34" s="231">
        <f t="shared" si="25"/>
        <v>91.37106619188943</v>
      </c>
      <c r="O34" s="231">
        <f t="shared" si="25"/>
        <v>97.20180987692072</v>
      </c>
      <c r="P34" s="231">
        <f t="shared" si="25"/>
        <v>91.00461397519577</v>
      </c>
      <c r="Q34" s="231">
        <f t="shared" si="25"/>
        <v>90.55956833990798</v>
      </c>
      <c r="R34" s="232"/>
      <c r="T34" s="234"/>
      <c r="U34" s="234"/>
      <c r="V34" s="234"/>
    </row>
    <row r="35" spans="2:22" s="233" customFormat="1" ht="24.75" customHeight="1">
      <c r="B35" s="228" t="s">
        <v>255</v>
      </c>
      <c r="C35" s="229"/>
      <c r="D35" s="230">
        <f>((D97+D99)/(D98+D100))*100</f>
        <v>103.49409116800845</v>
      </c>
      <c r="E35" s="231">
        <f aca="true" t="shared" si="26" ref="E35:Q35">+((E97+E99)/(E98+E100))*100</f>
        <v>102.52314071245262</v>
      </c>
      <c r="F35" s="231">
        <f t="shared" si="26"/>
        <v>106.02689878631186</v>
      </c>
      <c r="G35" s="462" t="s">
        <v>460</v>
      </c>
      <c r="H35" s="231">
        <f t="shared" si="26"/>
        <v>94.80698224738693</v>
      </c>
      <c r="I35" s="231">
        <f t="shared" si="26"/>
        <v>100.45032409515333</v>
      </c>
      <c r="J35" s="231">
        <f t="shared" si="26"/>
        <v>91.75774598036094</v>
      </c>
      <c r="K35" s="231">
        <f>+((K97+K99)/(K98+K100))*100</f>
        <v>90.02711983380193</v>
      </c>
      <c r="L35" s="231">
        <f>+((L97+L99)/(L98+L100))*100</f>
        <v>103.33255749653607</v>
      </c>
      <c r="M35" s="231">
        <f t="shared" si="26"/>
        <v>78.69894041769042</v>
      </c>
      <c r="N35" s="231">
        <f t="shared" si="26"/>
        <v>97.3108490686601</v>
      </c>
      <c r="O35" s="231">
        <f t="shared" si="26"/>
        <v>99.62769298199434</v>
      </c>
      <c r="P35" s="231">
        <f t="shared" si="26"/>
        <v>95.07722547784955</v>
      </c>
      <c r="Q35" s="231">
        <f t="shared" si="26"/>
        <v>101.04847921427455</v>
      </c>
      <c r="R35" s="232"/>
      <c r="T35" s="234"/>
      <c r="U35" s="234"/>
      <c r="V35" s="234"/>
    </row>
    <row r="36" spans="2:22" s="233" customFormat="1" ht="24.75" customHeight="1">
      <c r="B36" s="228" t="s">
        <v>256</v>
      </c>
      <c r="C36" s="229"/>
      <c r="D36" s="230">
        <f>(+D97/D98)*100</f>
        <v>103.06372708413495</v>
      </c>
      <c r="E36" s="231">
        <f aca="true" t="shared" si="27" ref="E36:Q36">(+E97/E98)*100</f>
        <v>86.86907368344325</v>
      </c>
      <c r="F36" s="231">
        <f t="shared" si="27"/>
        <v>103.1014273841613</v>
      </c>
      <c r="G36" s="462" t="s">
        <v>460</v>
      </c>
      <c r="H36" s="231">
        <f t="shared" si="27"/>
        <v>91.97859831850927</v>
      </c>
      <c r="I36" s="231">
        <f t="shared" si="27"/>
        <v>97.59354230244367</v>
      </c>
      <c r="J36" s="231">
        <f t="shared" si="27"/>
        <v>81.28947588439915</v>
      </c>
      <c r="K36" s="231">
        <f>(+K97/K98)*100</f>
        <v>55.00210684355159</v>
      </c>
      <c r="L36" s="231">
        <f>(+L97/L98)*100</f>
        <v>74.35213552678488</v>
      </c>
      <c r="M36" s="231">
        <f t="shared" si="27"/>
        <v>48.878696971530836</v>
      </c>
      <c r="N36" s="231">
        <f t="shared" si="27"/>
        <v>90.09369909798077</v>
      </c>
      <c r="O36" s="231">
        <f t="shared" si="27"/>
        <v>81.53830808553083</v>
      </c>
      <c r="P36" s="231">
        <f t="shared" si="27"/>
        <v>86.51976011496046</v>
      </c>
      <c r="Q36" s="231">
        <f t="shared" si="27"/>
        <v>93.95568401435274</v>
      </c>
      <c r="R36" s="232"/>
      <c r="T36" s="234"/>
      <c r="U36" s="234"/>
      <c r="V36" s="234"/>
    </row>
    <row r="37" spans="2:22" s="233" customFormat="1" ht="24.75" customHeight="1">
      <c r="B37" s="228" t="s">
        <v>257</v>
      </c>
      <c r="C37" s="229"/>
      <c r="D37" s="236">
        <f>(+D101/D97)*100</f>
        <v>14.822361881266655</v>
      </c>
      <c r="E37" s="231">
        <f aca="true" t="shared" si="28" ref="E37:Q37">(+E101/E97)*100</f>
        <v>43.14649618436844</v>
      </c>
      <c r="F37" s="231">
        <f t="shared" si="28"/>
        <v>53.678998917330304</v>
      </c>
      <c r="G37" s="462" t="s">
        <v>460</v>
      </c>
      <c r="H37" s="231">
        <f t="shared" si="28"/>
        <v>225.5677463864085</v>
      </c>
      <c r="I37" s="231">
        <f t="shared" si="28"/>
        <v>68.7127501044514</v>
      </c>
      <c r="J37" s="231">
        <f t="shared" si="28"/>
        <v>36.37159812000548</v>
      </c>
      <c r="K37" s="231">
        <f>(+K101/K97)*100</f>
        <v>112.5492515779982</v>
      </c>
      <c r="L37" s="231">
        <f>(+L101/L97)*100</f>
        <v>28.48194139194139</v>
      </c>
      <c r="M37" s="237">
        <f>(+M101/M97)*100</f>
        <v>14.056599602034048</v>
      </c>
      <c r="N37" s="231">
        <f t="shared" si="28"/>
        <v>4.5568119626586565</v>
      </c>
      <c r="O37" s="231">
        <f t="shared" si="28"/>
        <v>135.56862769083975</v>
      </c>
      <c r="P37" s="231">
        <f t="shared" si="28"/>
        <v>0</v>
      </c>
      <c r="Q37" s="238">
        <f t="shared" si="28"/>
        <v>49.53404543372112</v>
      </c>
      <c r="R37" s="232"/>
      <c r="T37" s="234"/>
      <c r="U37" s="234"/>
      <c r="V37" s="234"/>
    </row>
    <row r="38" spans="2:22" s="233" customFormat="1" ht="24.75" customHeight="1">
      <c r="B38" s="228" t="s">
        <v>258</v>
      </c>
      <c r="C38" s="229"/>
      <c r="D38" s="282">
        <f>IF(D102=0,0,ROUNDDOWN((D102/D97)*100,1))</f>
        <v>0</v>
      </c>
      <c r="E38" s="283">
        <f>IF(E102=0,0,ROUNDDOWN((E102/E97)*100,1))</f>
        <v>0</v>
      </c>
      <c r="F38" s="283">
        <f aca="true" t="shared" si="29" ref="F38:Q38">IF(F102=0,0,ROUNDDOWN((F102/F97)*100,1))</f>
        <v>0</v>
      </c>
      <c r="G38" s="463" t="s">
        <v>460</v>
      </c>
      <c r="H38" s="283">
        <f>IF(H102=0,0,ROUNDDOWN((H102/H97)*100,1))</f>
        <v>13.3</v>
      </c>
      <c r="I38" s="284">
        <f t="shared" si="29"/>
        <v>0</v>
      </c>
      <c r="J38" s="284">
        <f t="shared" si="29"/>
        <v>0</v>
      </c>
      <c r="K38" s="285">
        <f t="shared" si="29"/>
        <v>2.2</v>
      </c>
      <c r="L38" s="284">
        <f t="shared" si="29"/>
        <v>0</v>
      </c>
      <c r="M38" s="284">
        <f t="shared" si="29"/>
        <v>0</v>
      </c>
      <c r="N38" s="284">
        <f t="shared" si="29"/>
        <v>0</v>
      </c>
      <c r="O38" s="284">
        <f t="shared" si="29"/>
        <v>0</v>
      </c>
      <c r="P38" s="284">
        <f t="shared" si="29"/>
        <v>0</v>
      </c>
      <c r="Q38" s="286">
        <f t="shared" si="29"/>
        <v>1.1</v>
      </c>
      <c r="R38" s="232"/>
      <c r="T38" s="234"/>
      <c r="U38" s="234"/>
      <c r="V38" s="234"/>
    </row>
    <row r="39" spans="2:22" s="233" customFormat="1" ht="24.75" customHeight="1">
      <c r="B39" s="228" t="s">
        <v>259</v>
      </c>
      <c r="C39" s="229"/>
      <c r="D39" s="230">
        <f>((D110+D111)/(D104+D105+D106+D107+D108+D109+D112+D113))*100</f>
        <v>1.1442515052990483</v>
      </c>
      <c r="E39" s="231">
        <f aca="true" t="shared" si="30" ref="E39:Q39">((E110+E111)/(E104+E105+E106+E107+E108+E109+E112+E113))*100</f>
        <v>0.98666211858004</v>
      </c>
      <c r="F39" s="231">
        <f t="shared" si="30"/>
        <v>3.4785881097123563</v>
      </c>
      <c r="G39" s="462" t="s">
        <v>460</v>
      </c>
      <c r="H39" s="231">
        <f t="shared" si="30"/>
        <v>2.528090761535807</v>
      </c>
      <c r="I39" s="231">
        <f t="shared" si="30"/>
        <v>2.738250049742759</v>
      </c>
      <c r="J39" s="231">
        <f t="shared" si="30"/>
        <v>6.87503053397821</v>
      </c>
      <c r="K39" s="281">
        <f t="shared" si="30"/>
        <v>1.9060212594140178</v>
      </c>
      <c r="L39" s="231">
        <f t="shared" si="30"/>
        <v>1.4015434318721927</v>
      </c>
      <c r="M39" s="231">
        <f t="shared" si="30"/>
        <v>2.4443828864541643</v>
      </c>
      <c r="N39" s="231">
        <f t="shared" si="30"/>
        <v>2.1601985047274614</v>
      </c>
      <c r="O39" s="231">
        <f t="shared" si="30"/>
        <v>1.415033552828024</v>
      </c>
      <c r="P39" s="231">
        <f t="shared" si="30"/>
        <v>1.4309424269332347</v>
      </c>
      <c r="Q39" s="231">
        <f t="shared" si="30"/>
        <v>2.082109006700657</v>
      </c>
      <c r="R39" s="232"/>
      <c r="T39" s="234"/>
      <c r="U39" s="234"/>
      <c r="V39" s="234"/>
    </row>
    <row r="40" spans="2:22" s="233" customFormat="1" ht="24.75" customHeight="1">
      <c r="B40" s="401" t="s">
        <v>260</v>
      </c>
      <c r="C40" s="400"/>
      <c r="D40" s="402">
        <f>D104+D106+D107</f>
        <v>11299817</v>
      </c>
      <c r="E40" s="403">
        <f aca="true" t="shared" si="31" ref="E40:P40">E104+E106+E107</f>
        <v>933906</v>
      </c>
      <c r="F40" s="403">
        <f t="shared" si="31"/>
        <v>6025878</v>
      </c>
      <c r="G40" s="403">
        <v>53051</v>
      </c>
      <c r="H40" s="403">
        <f t="shared" si="31"/>
        <v>6708604</v>
      </c>
      <c r="I40" s="403">
        <f t="shared" si="31"/>
        <v>3107376</v>
      </c>
      <c r="J40" s="403">
        <f t="shared" si="31"/>
        <v>327504</v>
      </c>
      <c r="K40" s="404">
        <f t="shared" si="31"/>
        <v>1425386</v>
      </c>
      <c r="L40" s="403">
        <f t="shared" si="31"/>
        <v>1741276</v>
      </c>
      <c r="M40" s="403">
        <f t="shared" si="31"/>
        <v>104689</v>
      </c>
      <c r="N40" s="403">
        <f t="shared" si="31"/>
        <v>616610</v>
      </c>
      <c r="O40" s="403">
        <f t="shared" si="31"/>
        <v>270655</v>
      </c>
      <c r="P40" s="403">
        <f t="shared" si="31"/>
        <v>3140549</v>
      </c>
      <c r="Q40" s="403">
        <f>SUM(D40:P40)</f>
        <v>35755301</v>
      </c>
      <c r="R40" s="232"/>
      <c r="T40" s="234"/>
      <c r="U40" s="234"/>
      <c r="V40" s="234"/>
    </row>
    <row r="41" spans="2:22" s="233" customFormat="1" ht="24.75" customHeight="1">
      <c r="B41" s="405" t="s">
        <v>440</v>
      </c>
      <c r="C41" s="406"/>
      <c r="D41" s="430">
        <v>0</v>
      </c>
      <c r="E41" s="431"/>
      <c r="F41" s="431">
        <v>0</v>
      </c>
      <c r="G41" s="479" t="s">
        <v>460</v>
      </c>
      <c r="H41" s="431">
        <v>292141</v>
      </c>
      <c r="I41" s="431">
        <v>0</v>
      </c>
      <c r="J41" s="431">
        <v>0</v>
      </c>
      <c r="K41" s="431"/>
      <c r="L41" s="431"/>
      <c r="M41" s="431">
        <v>0</v>
      </c>
      <c r="N41" s="431">
        <v>0</v>
      </c>
      <c r="O41" s="431">
        <v>0</v>
      </c>
      <c r="P41" s="431">
        <v>0</v>
      </c>
      <c r="Q41" s="407">
        <f>SUM(D41:P41)</f>
        <v>292141</v>
      </c>
      <c r="R41" s="232"/>
      <c r="T41" s="234"/>
      <c r="U41" s="234"/>
      <c r="V41" s="234"/>
    </row>
    <row r="42" spans="2:22" s="233" customFormat="1" ht="24.75" customHeight="1" thickBot="1">
      <c r="B42" s="408" t="s">
        <v>441</v>
      </c>
      <c r="C42" s="409"/>
      <c r="D42" s="410">
        <f>IF(D41=0,0,ROUNDDOWN((D41/D97)*100,1))</f>
        <v>0</v>
      </c>
      <c r="E42" s="481">
        <f>IF(E41=0,0,ROUNDDOWN((E41/E97)*100,1))</f>
        <v>0</v>
      </c>
      <c r="F42" s="411">
        <f aca="true" t="shared" si="32" ref="F42:P42">IF(F41=0,0,ROUNDDOWN((F41/F97)*100,1))</f>
        <v>0</v>
      </c>
      <c r="G42" s="480" t="s">
        <v>460</v>
      </c>
      <c r="H42" s="411">
        <f t="shared" si="32"/>
        <v>7</v>
      </c>
      <c r="I42" s="411">
        <f t="shared" si="32"/>
        <v>0</v>
      </c>
      <c r="J42" s="411">
        <f t="shared" si="32"/>
        <v>0</v>
      </c>
      <c r="K42" s="411">
        <f t="shared" si="32"/>
        <v>0</v>
      </c>
      <c r="L42" s="411">
        <f t="shared" si="32"/>
        <v>0</v>
      </c>
      <c r="M42" s="411">
        <f t="shared" si="32"/>
        <v>0</v>
      </c>
      <c r="N42" s="411">
        <f t="shared" si="32"/>
        <v>0</v>
      </c>
      <c r="O42" s="411">
        <f t="shared" si="32"/>
        <v>0</v>
      </c>
      <c r="P42" s="411">
        <f t="shared" si="32"/>
        <v>0</v>
      </c>
      <c r="Q42" s="412"/>
      <c r="R42" s="232"/>
      <c r="T42" s="234"/>
      <c r="U42" s="234"/>
      <c r="V42" s="234"/>
    </row>
    <row r="43" s="233" customFormat="1" ht="17.25"/>
    <row r="44" s="233" customFormat="1" ht="17.25"/>
    <row r="45" spans="1:19" s="233" customFormat="1" ht="17.25">
      <c r="A45" s="239" t="s">
        <v>406</v>
      </c>
      <c r="B45" s="239"/>
      <c r="C45" s="485" t="s">
        <v>37</v>
      </c>
      <c r="D45" s="497">
        <v>159724</v>
      </c>
      <c r="E45" s="497">
        <v>67970</v>
      </c>
      <c r="F45" s="497">
        <v>99957</v>
      </c>
      <c r="G45" s="482" t="s">
        <v>460</v>
      </c>
      <c r="H45" s="497">
        <v>56096</v>
      </c>
      <c r="I45" s="497">
        <v>77451</v>
      </c>
      <c r="J45" s="497">
        <v>18584</v>
      </c>
      <c r="K45" s="497">
        <v>15343</v>
      </c>
      <c r="L45" s="497">
        <v>34416</v>
      </c>
      <c r="M45" s="497">
        <v>4341</v>
      </c>
      <c r="N45" s="497">
        <v>17844</v>
      </c>
      <c r="O45" s="497">
        <v>13906</v>
      </c>
      <c r="P45" s="497">
        <v>65329</v>
      </c>
      <c r="Q45" s="491">
        <f>SUM(D45:P45)</f>
        <v>630961</v>
      </c>
      <c r="S45" s="233" t="str">
        <f>IF(Q45='01施設概要'!Q24,"O.K!","Check!")</f>
        <v>O.K!</v>
      </c>
    </row>
    <row r="46" spans="1:19" s="233" customFormat="1" ht="17.25">
      <c r="A46" s="239" t="s">
        <v>407</v>
      </c>
      <c r="B46" s="239"/>
      <c r="C46" s="486" t="s">
        <v>366</v>
      </c>
      <c r="D46" s="497">
        <v>159724</v>
      </c>
      <c r="E46" s="497">
        <v>60332</v>
      </c>
      <c r="F46" s="497">
        <v>99957</v>
      </c>
      <c r="G46" s="482" t="s">
        <v>460</v>
      </c>
      <c r="H46" s="497">
        <v>56096</v>
      </c>
      <c r="I46" s="497">
        <v>59601</v>
      </c>
      <c r="J46" s="497">
        <v>18584</v>
      </c>
      <c r="K46" s="497">
        <v>4514</v>
      </c>
      <c r="L46" s="497">
        <v>34416</v>
      </c>
      <c r="M46" s="497">
        <v>4341</v>
      </c>
      <c r="N46" s="497">
        <v>565</v>
      </c>
      <c r="O46" s="497">
        <v>13906</v>
      </c>
      <c r="P46" s="497">
        <v>56043</v>
      </c>
      <c r="Q46" s="491">
        <f>SUM(D46:P46)</f>
        <v>568079</v>
      </c>
      <c r="S46" s="233" t="str">
        <f>IF(Q46='01施設概要'!Q25,"O.K!","Check!")</f>
        <v>O.K!</v>
      </c>
    </row>
    <row r="47" spans="1:17" s="233" customFormat="1" ht="17.25">
      <c r="A47" s="239" t="s">
        <v>409</v>
      </c>
      <c r="B47" s="239"/>
      <c r="C47" s="487" t="s">
        <v>217</v>
      </c>
      <c r="D47" s="497">
        <f>'01施設概要'!D16*365</f>
        <v>207320</v>
      </c>
      <c r="E47" s="497">
        <f>'01施設概要'!E16*365</f>
        <v>117530</v>
      </c>
      <c r="F47" s="497">
        <f>'01施設概要'!F16*365</f>
        <v>119720</v>
      </c>
      <c r="G47" s="497">
        <f>'01施設概要'!G16*365</f>
        <v>0</v>
      </c>
      <c r="H47" s="497">
        <f>'01施設概要'!H16*365</f>
        <v>73000</v>
      </c>
      <c r="I47" s="497">
        <f>'01施設概要'!I16*365</f>
        <v>93075</v>
      </c>
      <c r="J47" s="497">
        <f>'01施設概要'!J16*365</f>
        <v>36500</v>
      </c>
      <c r="K47" s="497">
        <f>'01施設概要'!K16*365</f>
        <v>32850</v>
      </c>
      <c r="L47" s="497">
        <f>'01施設概要'!L16*365</f>
        <v>102565</v>
      </c>
      <c r="M47" s="497">
        <f>'01施設概要'!M16*365</f>
        <v>10950</v>
      </c>
      <c r="N47" s="497">
        <f>'01施設概要'!N16*365</f>
        <v>18250</v>
      </c>
      <c r="O47" s="497">
        <f>'01施設概要'!O16*365</f>
        <v>27740</v>
      </c>
      <c r="P47" s="497">
        <f>'01施設概要'!P16*365</f>
        <v>101470</v>
      </c>
      <c r="Q47" s="491">
        <f>SUM(D47:P47)</f>
        <v>940970</v>
      </c>
    </row>
    <row r="48" spans="1:17" s="233" customFormat="1" ht="17.25">
      <c r="A48" s="239" t="s">
        <v>412</v>
      </c>
      <c r="B48" s="239"/>
      <c r="C48" s="486" t="s">
        <v>367</v>
      </c>
      <c r="D48" s="497">
        <f>'01施設概要'!D11*365</f>
        <v>206590</v>
      </c>
      <c r="E48" s="497">
        <f>'01施設概要'!E11*365</f>
        <v>98550</v>
      </c>
      <c r="F48" s="497">
        <f>'01施設概要'!F11*365</f>
        <v>118990</v>
      </c>
      <c r="G48" s="497">
        <f>'01施設概要'!G11*365</f>
        <v>0</v>
      </c>
      <c r="H48" s="497">
        <f>'01施設概要'!H11*365</f>
        <v>73000</v>
      </c>
      <c r="I48" s="497">
        <f>'01施設概要'!I11*365</f>
        <v>72635</v>
      </c>
      <c r="J48" s="497">
        <f>'01施設概要'!J11*365</f>
        <v>36500</v>
      </c>
      <c r="K48" s="497">
        <f>'01施設概要'!K11*365</f>
        <v>18250</v>
      </c>
      <c r="L48" s="497">
        <f>'01施設概要'!L11*365</f>
        <v>102565</v>
      </c>
      <c r="M48" s="497">
        <f>'01施設概要'!M11*365</f>
        <v>10950</v>
      </c>
      <c r="N48" s="497">
        <f>'01施設概要'!N11*365</f>
        <v>0</v>
      </c>
      <c r="O48" s="497">
        <f>'01施設概要'!O11*365</f>
        <v>18250</v>
      </c>
      <c r="P48" s="497">
        <f>'01施設概要'!P11*365</f>
        <v>85410</v>
      </c>
      <c r="Q48" s="491">
        <f>SUM(D48:P48)</f>
        <v>841690</v>
      </c>
    </row>
    <row r="49" spans="1:19" s="233" customFormat="1" ht="17.25">
      <c r="A49" s="239" t="s">
        <v>408</v>
      </c>
      <c r="B49" s="239"/>
      <c r="C49" s="485" t="s">
        <v>38</v>
      </c>
      <c r="D49" s="497">
        <v>401011</v>
      </c>
      <c r="E49" s="497">
        <v>122860</v>
      </c>
      <c r="F49" s="497">
        <v>156323</v>
      </c>
      <c r="G49" s="497" t="s">
        <v>460</v>
      </c>
      <c r="H49" s="497">
        <v>83054</v>
      </c>
      <c r="I49" s="497">
        <v>105127</v>
      </c>
      <c r="J49" s="497">
        <v>40166</v>
      </c>
      <c r="K49" s="497">
        <v>42178</v>
      </c>
      <c r="L49" s="497">
        <v>55534</v>
      </c>
      <c r="M49" s="497">
        <v>19664</v>
      </c>
      <c r="N49" s="497">
        <v>28281</v>
      </c>
      <c r="O49" s="497">
        <v>36555</v>
      </c>
      <c r="P49" s="497">
        <v>84186</v>
      </c>
      <c r="Q49" s="491">
        <f>SUM(D49:P49)</f>
        <v>1174939</v>
      </c>
      <c r="S49" s="233" t="str">
        <f>IF(Q49='01施設概要'!Q30,"O.K!","Check!")</f>
        <v>O.K!</v>
      </c>
    </row>
    <row r="50" spans="3:17" s="233" customFormat="1" ht="17.25">
      <c r="C50" s="239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276"/>
    </row>
    <row r="51" spans="1:17" s="233" customFormat="1" ht="17.25">
      <c r="A51" s="297" t="s">
        <v>410</v>
      </c>
      <c r="B51" s="296"/>
      <c r="C51" s="488" t="s">
        <v>359</v>
      </c>
      <c r="D51" s="497">
        <v>365</v>
      </c>
      <c r="E51" s="497">
        <v>365</v>
      </c>
      <c r="F51" s="497">
        <v>365</v>
      </c>
      <c r="G51" s="497">
        <v>0</v>
      </c>
      <c r="H51" s="497">
        <v>365</v>
      </c>
      <c r="I51" s="497">
        <v>365</v>
      </c>
      <c r="J51" s="497">
        <v>365</v>
      </c>
      <c r="K51" s="497">
        <v>365</v>
      </c>
      <c r="L51" s="497">
        <v>365</v>
      </c>
      <c r="M51" s="497">
        <v>360</v>
      </c>
      <c r="N51" s="497">
        <v>365</v>
      </c>
      <c r="O51" s="497">
        <v>365</v>
      </c>
      <c r="P51" s="497">
        <v>365</v>
      </c>
      <c r="Q51" s="491">
        <f>SUM(D51:P51)</f>
        <v>4375</v>
      </c>
    </row>
    <row r="52" spans="1:17" s="233" customFormat="1" ht="17.25">
      <c r="A52" s="297" t="s">
        <v>411</v>
      </c>
      <c r="B52" s="296"/>
      <c r="C52" s="488" t="s">
        <v>360</v>
      </c>
      <c r="D52" s="497">
        <v>244</v>
      </c>
      <c r="E52" s="497">
        <v>244</v>
      </c>
      <c r="F52" s="497">
        <v>244</v>
      </c>
      <c r="G52" s="497">
        <v>0</v>
      </c>
      <c r="H52" s="497">
        <v>244</v>
      </c>
      <c r="I52" s="497">
        <v>244</v>
      </c>
      <c r="J52" s="497">
        <v>244</v>
      </c>
      <c r="K52" s="497">
        <v>244</v>
      </c>
      <c r="L52" s="497">
        <v>244</v>
      </c>
      <c r="M52" s="497">
        <v>289</v>
      </c>
      <c r="N52" s="497">
        <v>244</v>
      </c>
      <c r="O52" s="497">
        <v>266</v>
      </c>
      <c r="P52" s="497">
        <v>244</v>
      </c>
      <c r="Q52" s="491">
        <f>SUM(D52:P52)</f>
        <v>2995</v>
      </c>
    </row>
    <row r="53" spans="3:17" s="233" customFormat="1" ht="17.25">
      <c r="C53" s="240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277"/>
    </row>
    <row r="54" spans="1:19" s="233" customFormat="1" ht="17.25">
      <c r="A54" s="239" t="s">
        <v>413</v>
      </c>
      <c r="C54" s="488" t="s">
        <v>361</v>
      </c>
      <c r="D54" s="497">
        <v>18462901</v>
      </c>
      <c r="E54" s="497">
        <v>4886216</v>
      </c>
      <c r="F54" s="497">
        <v>8156689</v>
      </c>
      <c r="G54" s="497">
        <v>0</v>
      </c>
      <c r="H54" s="497">
        <v>4132523</v>
      </c>
      <c r="I54" s="497">
        <v>4037763</v>
      </c>
      <c r="J54" s="497">
        <v>1283408</v>
      </c>
      <c r="K54" s="497">
        <v>693125</v>
      </c>
      <c r="L54" s="497">
        <v>2730000</v>
      </c>
      <c r="M54" s="497">
        <v>226150</v>
      </c>
      <c r="N54" s="497">
        <v>571913</v>
      </c>
      <c r="O54" s="497">
        <v>653978</v>
      </c>
      <c r="P54" s="497">
        <v>3198870</v>
      </c>
      <c r="Q54" s="492">
        <f>SUM(D54:P54)</f>
        <v>49033536</v>
      </c>
      <c r="S54" s="233" t="str">
        <f>IF(Q54='02損益計算'!S9,"O.K!","Check!")</f>
        <v>O.K!</v>
      </c>
    </row>
    <row r="55" spans="1:19" s="233" customFormat="1" ht="17.25">
      <c r="A55" s="239" t="s">
        <v>414</v>
      </c>
      <c r="C55" s="488" t="s">
        <v>362</v>
      </c>
      <c r="D55" s="497">
        <v>11657596</v>
      </c>
      <c r="E55" s="497">
        <v>3000292</v>
      </c>
      <c r="F55" s="497">
        <v>5155731</v>
      </c>
      <c r="G55" s="497">
        <v>0</v>
      </c>
      <c r="H55" s="497">
        <v>2782547</v>
      </c>
      <c r="I55" s="497">
        <v>2252415</v>
      </c>
      <c r="J55" s="497">
        <v>597798</v>
      </c>
      <c r="K55" s="497">
        <v>336490</v>
      </c>
      <c r="L55" s="497">
        <v>1552141</v>
      </c>
      <c r="M55" s="497">
        <v>74908</v>
      </c>
      <c r="N55" s="497">
        <v>371821</v>
      </c>
      <c r="O55" s="497">
        <v>280842</v>
      </c>
      <c r="P55" s="497">
        <v>2115570</v>
      </c>
      <c r="Q55" s="492">
        <f aca="true" t="shared" si="33" ref="Q55:Q111">SUM(D55:P55)</f>
        <v>30178151</v>
      </c>
      <c r="S55" s="233" t="str">
        <f>IF(Q55='02損益計算'!S10,"O.K!","Check!")</f>
        <v>O.K!</v>
      </c>
    </row>
    <row r="56" spans="1:19" s="233" customFormat="1" ht="17.25">
      <c r="A56" s="239" t="s">
        <v>415</v>
      </c>
      <c r="C56" s="488" t="s">
        <v>363</v>
      </c>
      <c r="D56" s="497">
        <v>6221446</v>
      </c>
      <c r="E56" s="497">
        <v>1471336</v>
      </c>
      <c r="F56" s="497">
        <v>2791169</v>
      </c>
      <c r="G56" s="497">
        <v>0</v>
      </c>
      <c r="H56" s="497">
        <v>987399</v>
      </c>
      <c r="I56" s="497">
        <v>1603763</v>
      </c>
      <c r="J56" s="497">
        <v>589603</v>
      </c>
      <c r="K56" s="497">
        <v>297213</v>
      </c>
      <c r="L56" s="497">
        <v>837886</v>
      </c>
      <c r="M56" s="497">
        <v>118591</v>
      </c>
      <c r="N56" s="497">
        <v>136537</v>
      </c>
      <c r="O56" s="497">
        <v>266264</v>
      </c>
      <c r="P56" s="497">
        <v>864106</v>
      </c>
      <c r="Q56" s="492">
        <f t="shared" si="33"/>
        <v>16185313</v>
      </c>
      <c r="S56" s="233" t="str">
        <f>IF(Q56='02損益計算'!S11,"O.K!","Check!")</f>
        <v>Check!</v>
      </c>
    </row>
    <row r="57" spans="3:17" s="233" customFormat="1" ht="17.25">
      <c r="C57" s="240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277">
        <f t="shared" si="33"/>
        <v>0</v>
      </c>
    </row>
    <row r="58" spans="1:19" s="233" customFormat="1" ht="17.25">
      <c r="A58" s="500" t="s">
        <v>416</v>
      </c>
      <c r="C58" s="279" t="s">
        <v>368</v>
      </c>
      <c r="D58" s="497">
        <v>1011504</v>
      </c>
      <c r="E58" s="497">
        <v>141731</v>
      </c>
      <c r="F58" s="497">
        <v>536666</v>
      </c>
      <c r="G58" s="497">
        <v>0</v>
      </c>
      <c r="H58" s="497">
        <v>46071</v>
      </c>
      <c r="I58" s="497">
        <v>136111</v>
      </c>
      <c r="J58" s="497">
        <v>156208</v>
      </c>
      <c r="K58" s="497">
        <v>15077</v>
      </c>
      <c r="L58" s="497">
        <v>35346</v>
      </c>
      <c r="M58" s="497">
        <v>14205</v>
      </c>
      <c r="N58" s="497">
        <v>5207</v>
      </c>
      <c r="O58" s="497">
        <v>20145</v>
      </c>
      <c r="P58" s="497">
        <v>56107</v>
      </c>
      <c r="Q58" s="492">
        <f t="shared" si="33"/>
        <v>2174378</v>
      </c>
      <c r="S58" s="233" t="str">
        <f>IF(Q58='03収益費用構成'!R24,"O.K!","Check!")</f>
        <v>O.K!</v>
      </c>
    </row>
    <row r="59" spans="1:19" s="233" customFormat="1" ht="17.25">
      <c r="A59" s="500" t="s">
        <v>417</v>
      </c>
      <c r="C59" s="279" t="s">
        <v>369</v>
      </c>
      <c r="D59" s="497">
        <v>1941530</v>
      </c>
      <c r="E59" s="497">
        <v>380360</v>
      </c>
      <c r="F59" s="497">
        <v>973368</v>
      </c>
      <c r="G59" s="497">
        <v>0</v>
      </c>
      <c r="H59" s="497">
        <v>185877</v>
      </c>
      <c r="I59" s="497">
        <v>387591</v>
      </c>
      <c r="J59" s="497">
        <v>35699</v>
      </c>
      <c r="K59" s="497">
        <v>54669</v>
      </c>
      <c r="L59" s="497">
        <v>241555</v>
      </c>
      <c r="M59" s="497">
        <v>16272</v>
      </c>
      <c r="N59" s="497">
        <v>14994</v>
      </c>
      <c r="O59" s="497">
        <v>12666</v>
      </c>
      <c r="P59" s="497">
        <v>196308</v>
      </c>
      <c r="Q59" s="492">
        <f t="shared" si="33"/>
        <v>4440889</v>
      </c>
      <c r="S59" s="233" t="str">
        <f>IF(Q59='03収益費用構成'!R25,"O.K!","Check!")</f>
        <v>Check!</v>
      </c>
    </row>
    <row r="60" spans="1:17" s="233" customFormat="1" ht="17.25">
      <c r="A60" s="501"/>
      <c r="C60" s="279" t="s">
        <v>370</v>
      </c>
      <c r="D60" s="497">
        <f>D58+D59</f>
        <v>2953034</v>
      </c>
      <c r="E60" s="497">
        <f aca="true" t="shared" si="34" ref="E60:P60">E58+E59</f>
        <v>522091</v>
      </c>
      <c r="F60" s="497">
        <f t="shared" si="34"/>
        <v>1510034</v>
      </c>
      <c r="G60" s="497">
        <f t="shared" si="34"/>
        <v>0</v>
      </c>
      <c r="H60" s="497">
        <f t="shared" si="34"/>
        <v>231948</v>
      </c>
      <c r="I60" s="497">
        <f t="shared" si="34"/>
        <v>523702</v>
      </c>
      <c r="J60" s="497">
        <f t="shared" si="34"/>
        <v>191907</v>
      </c>
      <c r="K60" s="497">
        <f t="shared" si="34"/>
        <v>69746</v>
      </c>
      <c r="L60" s="497">
        <f t="shared" si="34"/>
        <v>276901</v>
      </c>
      <c r="M60" s="497">
        <f t="shared" si="34"/>
        <v>30477</v>
      </c>
      <c r="N60" s="497">
        <f t="shared" si="34"/>
        <v>20201</v>
      </c>
      <c r="O60" s="497">
        <f t="shared" si="34"/>
        <v>32811</v>
      </c>
      <c r="P60" s="497">
        <f t="shared" si="34"/>
        <v>252415</v>
      </c>
      <c r="Q60" s="497">
        <f t="shared" si="33"/>
        <v>6615267</v>
      </c>
    </row>
    <row r="61" spans="1:17" s="233" customFormat="1" ht="17.25">
      <c r="A61" s="501"/>
      <c r="C61" s="240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277">
        <f t="shared" si="33"/>
        <v>0</v>
      </c>
    </row>
    <row r="62" spans="1:17" s="233" customFormat="1" ht="17.25">
      <c r="A62" s="500" t="s">
        <v>418</v>
      </c>
      <c r="C62" s="488" t="s">
        <v>371</v>
      </c>
      <c r="D62" s="497">
        <v>1177</v>
      </c>
      <c r="E62" s="497">
        <v>2416</v>
      </c>
      <c r="F62" s="497">
        <v>70982</v>
      </c>
      <c r="G62" s="497">
        <v>0</v>
      </c>
      <c r="H62" s="497">
        <v>0</v>
      </c>
      <c r="I62" s="497">
        <v>0</v>
      </c>
      <c r="J62" s="497">
        <v>0</v>
      </c>
      <c r="K62" s="497">
        <v>0</v>
      </c>
      <c r="L62" s="497">
        <v>864</v>
      </c>
      <c r="M62" s="497">
        <v>2659</v>
      </c>
      <c r="N62" s="497">
        <v>10723</v>
      </c>
      <c r="O62" s="497">
        <v>0</v>
      </c>
      <c r="P62" s="497">
        <v>35893</v>
      </c>
      <c r="Q62" s="492">
        <f t="shared" si="33"/>
        <v>124714</v>
      </c>
    </row>
    <row r="63" spans="3:17" s="233" customFormat="1" ht="17.25">
      <c r="C63" s="239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276">
        <f t="shared" si="33"/>
        <v>0</v>
      </c>
    </row>
    <row r="64" spans="1:17" s="233" customFormat="1" ht="17.25">
      <c r="A64" s="239" t="s">
        <v>422</v>
      </c>
      <c r="C64" s="486" t="s">
        <v>372</v>
      </c>
      <c r="D64" s="497">
        <f>D67+D69</f>
        <v>1011504</v>
      </c>
      <c r="E64" s="497">
        <f aca="true" t="shared" si="35" ref="E64:P64">E67+E69</f>
        <v>134305</v>
      </c>
      <c r="F64" s="497">
        <f t="shared" si="35"/>
        <v>556317</v>
      </c>
      <c r="G64" s="497">
        <f t="shared" si="35"/>
        <v>0</v>
      </c>
      <c r="H64" s="497">
        <f t="shared" si="35"/>
        <v>30437</v>
      </c>
      <c r="I64" s="497">
        <f t="shared" si="35"/>
        <v>126224</v>
      </c>
      <c r="J64" s="497">
        <f t="shared" si="35"/>
        <v>171557</v>
      </c>
      <c r="K64" s="497">
        <f t="shared" si="35"/>
        <v>15119</v>
      </c>
      <c r="L64" s="497">
        <f t="shared" si="35"/>
        <v>35346</v>
      </c>
      <c r="M64" s="497">
        <f t="shared" si="35"/>
        <v>14567</v>
      </c>
      <c r="N64" s="497">
        <f t="shared" si="35"/>
        <v>5208</v>
      </c>
      <c r="O64" s="497">
        <f t="shared" si="35"/>
        <v>20862</v>
      </c>
      <c r="P64" s="497">
        <f t="shared" si="35"/>
        <v>65840</v>
      </c>
      <c r="Q64" s="493">
        <f t="shared" si="33"/>
        <v>2187286</v>
      </c>
    </row>
    <row r="65" spans="1:17" s="233" customFormat="1" ht="17.25">
      <c r="A65" s="239" t="s">
        <v>424</v>
      </c>
      <c r="C65" s="486" t="s">
        <v>373</v>
      </c>
      <c r="D65" s="497">
        <f>D68+D70</f>
        <v>1941350</v>
      </c>
      <c r="E65" s="497">
        <f aca="true" t="shared" si="36" ref="E65:P65">E68+E70</f>
        <v>281193</v>
      </c>
      <c r="F65" s="497">
        <f t="shared" si="36"/>
        <v>796605</v>
      </c>
      <c r="G65" s="497">
        <f t="shared" si="36"/>
        <v>0</v>
      </c>
      <c r="H65" s="497">
        <f t="shared" si="36"/>
        <v>141290</v>
      </c>
      <c r="I65" s="497">
        <f t="shared" si="36"/>
        <v>339916</v>
      </c>
      <c r="J65" s="497">
        <f t="shared" si="36"/>
        <v>41406</v>
      </c>
      <c r="K65" s="497">
        <f t="shared" si="36"/>
        <v>54669</v>
      </c>
      <c r="L65" s="497">
        <f t="shared" si="36"/>
        <v>241555</v>
      </c>
      <c r="M65" s="497">
        <f t="shared" si="36"/>
        <v>16490</v>
      </c>
      <c r="N65" s="497">
        <f t="shared" si="36"/>
        <v>14996</v>
      </c>
      <c r="O65" s="497">
        <f t="shared" si="36"/>
        <v>19663</v>
      </c>
      <c r="P65" s="497">
        <f t="shared" si="36"/>
        <v>136536</v>
      </c>
      <c r="Q65" s="493">
        <f t="shared" si="33"/>
        <v>4025669</v>
      </c>
    </row>
    <row r="66" spans="3:17" s="233" customFormat="1" ht="17.25">
      <c r="C66" s="239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276">
        <f t="shared" si="33"/>
        <v>0</v>
      </c>
    </row>
    <row r="67" spans="1:19" s="233" customFormat="1" ht="17.25">
      <c r="A67" s="239" t="s">
        <v>419</v>
      </c>
      <c r="C67" s="241" t="s">
        <v>374</v>
      </c>
      <c r="D67" s="497">
        <v>81546</v>
      </c>
      <c r="E67" s="497">
        <v>22932</v>
      </c>
      <c r="F67" s="497">
        <v>50851</v>
      </c>
      <c r="G67" s="497">
        <v>0</v>
      </c>
      <c r="H67" s="497">
        <v>15659</v>
      </c>
      <c r="I67" s="497">
        <v>41065</v>
      </c>
      <c r="J67" s="497">
        <v>9878</v>
      </c>
      <c r="K67" s="497">
        <v>5152</v>
      </c>
      <c r="L67" s="497">
        <v>34109</v>
      </c>
      <c r="M67" s="497">
        <v>2005</v>
      </c>
      <c r="N67" s="497">
        <v>552</v>
      </c>
      <c r="O67" s="497">
        <v>5659</v>
      </c>
      <c r="P67" s="497">
        <v>13511</v>
      </c>
      <c r="Q67" s="494">
        <f t="shared" si="33"/>
        <v>282919</v>
      </c>
      <c r="S67" s="233" t="str">
        <f>IF(Q67='03収益費用構成'!R32,"O.K!","Check!")</f>
        <v>Check!</v>
      </c>
    </row>
    <row r="68" spans="1:19" s="233" customFormat="1" ht="17.25">
      <c r="A68" s="239" t="s">
        <v>420</v>
      </c>
      <c r="C68" s="242" t="s">
        <v>375</v>
      </c>
      <c r="D68" s="497">
        <v>713342</v>
      </c>
      <c r="E68" s="497">
        <v>61397</v>
      </c>
      <c r="F68" s="497">
        <v>142429</v>
      </c>
      <c r="G68" s="497">
        <v>0</v>
      </c>
      <c r="H68" s="497">
        <v>14949</v>
      </c>
      <c r="I68" s="497">
        <v>121832</v>
      </c>
      <c r="J68" s="497">
        <v>27906</v>
      </c>
      <c r="K68" s="497">
        <v>15454</v>
      </c>
      <c r="L68" s="497">
        <v>119102</v>
      </c>
      <c r="M68" s="497">
        <v>15275</v>
      </c>
      <c r="N68" s="497">
        <v>368</v>
      </c>
      <c r="O68" s="497">
        <v>10266</v>
      </c>
      <c r="P68" s="497">
        <v>29110</v>
      </c>
      <c r="Q68" s="495">
        <f t="shared" si="33"/>
        <v>1271430</v>
      </c>
      <c r="S68" s="233" t="str">
        <f>IF(Q68='03収益費用構成'!R33,"O.K!","Check!")</f>
        <v>O.K!</v>
      </c>
    </row>
    <row r="69" spans="1:19" s="233" customFormat="1" ht="17.25">
      <c r="A69" s="239" t="s">
        <v>421</v>
      </c>
      <c r="C69" s="241" t="s">
        <v>376</v>
      </c>
      <c r="D69" s="497">
        <v>929958</v>
      </c>
      <c r="E69" s="497">
        <v>111373</v>
      </c>
      <c r="F69" s="497">
        <v>505466</v>
      </c>
      <c r="G69" s="497">
        <v>0</v>
      </c>
      <c r="H69" s="497">
        <v>14778</v>
      </c>
      <c r="I69" s="497">
        <v>85159</v>
      </c>
      <c r="J69" s="497">
        <v>161679</v>
      </c>
      <c r="K69" s="497">
        <v>9967</v>
      </c>
      <c r="L69" s="497">
        <v>1237</v>
      </c>
      <c r="M69" s="497">
        <v>12562</v>
      </c>
      <c r="N69" s="497">
        <v>4656</v>
      </c>
      <c r="O69" s="497">
        <v>15203</v>
      </c>
      <c r="P69" s="497">
        <v>52329</v>
      </c>
      <c r="Q69" s="494">
        <f t="shared" si="33"/>
        <v>1904367</v>
      </c>
      <c r="S69" s="233" t="str">
        <f>IF(Q69='03収益費用構成'!R43,"O.K!","Check!")</f>
        <v>O.K!</v>
      </c>
    </row>
    <row r="70" spans="1:19" s="233" customFormat="1" ht="17.25">
      <c r="A70" s="239" t="s">
        <v>423</v>
      </c>
      <c r="C70" s="242" t="s">
        <v>377</v>
      </c>
      <c r="D70" s="497">
        <v>1228008</v>
      </c>
      <c r="E70" s="497">
        <v>219796</v>
      </c>
      <c r="F70" s="497">
        <v>654176</v>
      </c>
      <c r="G70" s="497">
        <v>0</v>
      </c>
      <c r="H70" s="497">
        <v>126341</v>
      </c>
      <c r="I70" s="497">
        <v>218084</v>
      </c>
      <c r="J70" s="497">
        <v>13500</v>
      </c>
      <c r="K70" s="497">
        <v>39215</v>
      </c>
      <c r="L70" s="497">
        <v>122453</v>
      </c>
      <c r="M70" s="497">
        <v>1215</v>
      </c>
      <c r="N70" s="497">
        <v>14628</v>
      </c>
      <c r="O70" s="497">
        <v>9397</v>
      </c>
      <c r="P70" s="497">
        <v>107426</v>
      </c>
      <c r="Q70" s="495">
        <f t="shared" si="33"/>
        <v>2754239</v>
      </c>
      <c r="S70" s="233" t="str">
        <f>IF(Q70='03収益費用構成'!R44,"O.K!","Check!")</f>
        <v>O.K!</v>
      </c>
    </row>
    <row r="71" spans="1:19" s="233" customFormat="1" ht="17.25">
      <c r="A71" s="239" t="s">
        <v>425</v>
      </c>
      <c r="C71" s="241" t="s">
        <v>378</v>
      </c>
      <c r="D71" s="497">
        <v>152428</v>
      </c>
      <c r="E71" s="497">
        <v>24765</v>
      </c>
      <c r="F71" s="497">
        <v>80585</v>
      </c>
      <c r="G71" s="497">
        <v>0</v>
      </c>
      <c r="H71" s="497">
        <v>45722</v>
      </c>
      <c r="I71" s="497">
        <v>104197</v>
      </c>
      <c r="J71" s="497">
        <v>20768</v>
      </c>
      <c r="K71" s="497">
        <v>6297</v>
      </c>
      <c r="L71" s="497">
        <v>87438</v>
      </c>
      <c r="M71" s="497">
        <v>2961</v>
      </c>
      <c r="N71" s="497">
        <v>623</v>
      </c>
      <c r="O71" s="497">
        <v>16830</v>
      </c>
      <c r="P71" s="497">
        <v>18511</v>
      </c>
      <c r="Q71" s="494">
        <f t="shared" si="33"/>
        <v>561125</v>
      </c>
      <c r="S71" s="233" t="str">
        <f>IF(Q71='03収益費用構成'!R35,"O.K!","Check!")</f>
        <v>O.K!</v>
      </c>
    </row>
    <row r="72" spans="1:19" s="233" customFormat="1" ht="17.25">
      <c r="A72" s="239" t="s">
        <v>426</v>
      </c>
      <c r="C72" s="242" t="s">
        <v>379</v>
      </c>
      <c r="D72" s="497">
        <v>1416863</v>
      </c>
      <c r="E72" s="497">
        <v>331705</v>
      </c>
      <c r="F72" s="497">
        <v>557847</v>
      </c>
      <c r="G72" s="497">
        <v>0</v>
      </c>
      <c r="H72" s="497">
        <v>251643</v>
      </c>
      <c r="I72" s="497">
        <v>222093</v>
      </c>
      <c r="J72" s="497">
        <v>58278</v>
      </c>
      <c r="K72" s="497">
        <v>29941</v>
      </c>
      <c r="L72" s="497">
        <v>153530</v>
      </c>
      <c r="M72" s="497">
        <v>17329</v>
      </c>
      <c r="N72" s="497">
        <v>31686</v>
      </c>
      <c r="O72" s="497">
        <v>44463</v>
      </c>
      <c r="P72" s="497">
        <v>209812</v>
      </c>
      <c r="Q72" s="495">
        <f t="shared" si="33"/>
        <v>3325190</v>
      </c>
      <c r="S72" s="233" t="str">
        <f>IF(Q72='03収益費用構成'!R46,"O.K!","Check!")</f>
        <v>O.K!</v>
      </c>
    </row>
    <row r="73" spans="1:19" s="233" customFormat="1" ht="17.25">
      <c r="A73" s="239" t="s">
        <v>427</v>
      </c>
      <c r="C73" s="241" t="s">
        <v>380</v>
      </c>
      <c r="D73" s="497">
        <v>31210</v>
      </c>
      <c r="E73" s="497">
        <v>8762</v>
      </c>
      <c r="F73" s="497">
        <v>43908</v>
      </c>
      <c r="G73" s="497">
        <v>0</v>
      </c>
      <c r="H73" s="497">
        <v>10119</v>
      </c>
      <c r="I73" s="497">
        <v>70335</v>
      </c>
      <c r="J73" s="497">
        <v>16121</v>
      </c>
      <c r="K73" s="497">
        <v>4934</v>
      </c>
      <c r="L73" s="497">
        <v>69936</v>
      </c>
      <c r="M73" s="497">
        <v>1331</v>
      </c>
      <c r="N73" s="497">
        <v>2900</v>
      </c>
      <c r="O73" s="497">
        <v>9516</v>
      </c>
      <c r="P73" s="497">
        <v>7413</v>
      </c>
      <c r="Q73" s="494">
        <f t="shared" si="33"/>
        <v>276485</v>
      </c>
      <c r="S73" s="233" t="str">
        <f>IF(Q73='03収益費用構成'!R36,"O.K!","Check!")</f>
        <v>O.K!</v>
      </c>
    </row>
    <row r="74" spans="1:19" s="233" customFormat="1" ht="17.25">
      <c r="A74" s="239" t="s">
        <v>428</v>
      </c>
      <c r="C74" s="242" t="s">
        <v>381</v>
      </c>
      <c r="D74" s="497">
        <v>920384</v>
      </c>
      <c r="E74" s="497">
        <v>290845</v>
      </c>
      <c r="F74" s="497">
        <v>323149</v>
      </c>
      <c r="G74" s="497">
        <v>0</v>
      </c>
      <c r="H74" s="497">
        <v>202307</v>
      </c>
      <c r="I74" s="497">
        <v>158502</v>
      </c>
      <c r="J74" s="497">
        <v>43667</v>
      </c>
      <c r="K74" s="497">
        <v>20348</v>
      </c>
      <c r="L74" s="497">
        <v>172833</v>
      </c>
      <c r="M74" s="497">
        <v>5275</v>
      </c>
      <c r="N74" s="497">
        <v>14862</v>
      </c>
      <c r="O74" s="497">
        <v>16311</v>
      </c>
      <c r="P74" s="497">
        <v>126356</v>
      </c>
      <c r="Q74" s="495">
        <f t="shared" si="33"/>
        <v>2294839</v>
      </c>
      <c r="S74" s="233" t="str">
        <f>IF(Q74='03収益費用構成'!R47,"O.K!","Check!")</f>
        <v>O.K!</v>
      </c>
    </row>
    <row r="75" spans="3:17" s="233" customFormat="1" ht="17.25">
      <c r="C75" s="239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276">
        <f t="shared" si="33"/>
        <v>0</v>
      </c>
    </row>
    <row r="76" spans="1:19" s="233" customFormat="1" ht="17.25">
      <c r="A76" s="239" t="s">
        <v>429</v>
      </c>
      <c r="C76" s="486" t="s">
        <v>382</v>
      </c>
      <c r="D76" s="497">
        <v>7944925</v>
      </c>
      <c r="E76" s="497">
        <v>3492007</v>
      </c>
      <c r="F76" s="497">
        <v>3951262</v>
      </c>
      <c r="G76" s="497">
        <v>0</v>
      </c>
      <c r="H76" s="497">
        <v>2489902</v>
      </c>
      <c r="I76" s="497">
        <v>2274572</v>
      </c>
      <c r="J76" s="497">
        <v>802278</v>
      </c>
      <c r="K76" s="497">
        <v>846725</v>
      </c>
      <c r="L76" s="497">
        <v>2033760</v>
      </c>
      <c r="M76" s="497">
        <v>328896</v>
      </c>
      <c r="N76" s="497">
        <v>378720</v>
      </c>
      <c r="O76" s="497">
        <v>476440</v>
      </c>
      <c r="P76" s="497">
        <v>2069808</v>
      </c>
      <c r="Q76" s="492">
        <f t="shared" si="33"/>
        <v>27089295</v>
      </c>
      <c r="S76" s="233" t="str">
        <f>IF(Q76='02損益計算'!S27,"O.K!","Check!")</f>
        <v>O.K!</v>
      </c>
    </row>
    <row r="77" spans="1:19" s="233" customFormat="1" ht="17.25">
      <c r="A77" s="239" t="s">
        <v>430</v>
      </c>
      <c r="C77" s="486" t="s">
        <v>383</v>
      </c>
      <c r="D77" s="497">
        <v>5462892</v>
      </c>
      <c r="E77" s="497">
        <v>969043</v>
      </c>
      <c r="F77" s="497">
        <v>2323309</v>
      </c>
      <c r="G77" s="497">
        <v>0</v>
      </c>
      <c r="H77" s="497">
        <v>871020</v>
      </c>
      <c r="I77" s="497">
        <v>921260</v>
      </c>
      <c r="J77" s="497">
        <v>293607</v>
      </c>
      <c r="K77" s="497">
        <v>119687</v>
      </c>
      <c r="L77" s="497">
        <v>612133</v>
      </c>
      <c r="M77" s="497">
        <v>40948</v>
      </c>
      <c r="N77" s="497">
        <v>46259</v>
      </c>
      <c r="O77" s="497">
        <v>63105</v>
      </c>
      <c r="P77" s="497">
        <v>539719</v>
      </c>
      <c r="Q77" s="492">
        <f t="shared" si="33"/>
        <v>12262982</v>
      </c>
      <c r="S77" s="233" t="str">
        <f>IF(Q77='03収益費用構成'!R28,"O.K!","Check!")</f>
        <v>O.K!</v>
      </c>
    </row>
    <row r="78" spans="1:19" s="233" customFormat="1" ht="17.25">
      <c r="A78" s="239" t="s">
        <v>431</v>
      </c>
      <c r="C78" s="486" t="s">
        <v>384</v>
      </c>
      <c r="D78" s="497">
        <v>2952854</v>
      </c>
      <c r="E78" s="497">
        <v>522091</v>
      </c>
      <c r="F78" s="497">
        <v>1510034</v>
      </c>
      <c r="G78" s="497">
        <v>0</v>
      </c>
      <c r="H78" s="497">
        <v>231948</v>
      </c>
      <c r="I78" s="497">
        <v>523702</v>
      </c>
      <c r="J78" s="497">
        <v>191907</v>
      </c>
      <c r="K78" s="497">
        <v>69746</v>
      </c>
      <c r="L78" s="497">
        <v>276901</v>
      </c>
      <c r="M78" s="497">
        <v>30477</v>
      </c>
      <c r="N78" s="497">
        <v>20201</v>
      </c>
      <c r="O78" s="497">
        <v>32811</v>
      </c>
      <c r="P78" s="497">
        <v>252415</v>
      </c>
      <c r="Q78" s="492">
        <f t="shared" si="33"/>
        <v>6615087</v>
      </c>
      <c r="S78" s="233" t="str">
        <f>IF(Q78='03収益費用構成'!R26,"O.K!","Check!")</f>
        <v>O.K!</v>
      </c>
    </row>
    <row r="79" spans="3:17" s="233" customFormat="1" ht="17.25">
      <c r="C79" s="239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276">
        <f t="shared" si="33"/>
        <v>0</v>
      </c>
    </row>
    <row r="80" spans="1:17" s="233" customFormat="1" ht="17.25">
      <c r="A80" s="239" t="s">
        <v>432</v>
      </c>
      <c r="B80" s="239"/>
      <c r="C80" s="486" t="s">
        <v>385</v>
      </c>
      <c r="D80" s="504">
        <v>56463</v>
      </c>
      <c r="E80" s="505">
        <v>17473</v>
      </c>
      <c r="F80" s="505">
        <v>18311</v>
      </c>
      <c r="G80" s="505">
        <v>0</v>
      </c>
      <c r="H80" s="505">
        <v>14554</v>
      </c>
      <c r="I80" s="505">
        <v>5840</v>
      </c>
      <c r="J80" s="505">
        <v>2732</v>
      </c>
      <c r="K80" s="505">
        <v>2336</v>
      </c>
      <c r="L80" s="505">
        <v>6845</v>
      </c>
      <c r="M80" s="505">
        <v>1168</v>
      </c>
      <c r="N80" s="505">
        <v>1533</v>
      </c>
      <c r="O80" s="505">
        <v>2263</v>
      </c>
      <c r="P80" s="505">
        <v>9826</v>
      </c>
      <c r="Q80" s="492">
        <f t="shared" si="33"/>
        <v>139344</v>
      </c>
    </row>
    <row r="81" spans="1:17" s="233" customFormat="1" ht="17.25">
      <c r="A81" s="239" t="s">
        <v>433</v>
      </c>
      <c r="B81" s="239"/>
      <c r="C81" s="486" t="s">
        <v>386</v>
      </c>
      <c r="D81" s="504">
        <v>214808</v>
      </c>
      <c r="E81" s="505">
        <v>92675</v>
      </c>
      <c r="F81" s="505">
        <v>134685</v>
      </c>
      <c r="G81" s="505">
        <v>0</v>
      </c>
      <c r="H81" s="505">
        <v>63898</v>
      </c>
      <c r="I81" s="505">
        <v>73699</v>
      </c>
      <c r="J81" s="505">
        <v>25762</v>
      </c>
      <c r="K81" s="505">
        <v>15006</v>
      </c>
      <c r="L81" s="505">
        <v>57298</v>
      </c>
      <c r="M81" s="505">
        <v>8030</v>
      </c>
      <c r="N81" s="505">
        <v>15499</v>
      </c>
      <c r="O81" s="505">
        <v>15184</v>
      </c>
      <c r="P81" s="505">
        <v>73104</v>
      </c>
      <c r="Q81" s="492">
        <f t="shared" si="33"/>
        <v>789648</v>
      </c>
    </row>
    <row r="82" spans="3:17" s="233" customFormat="1" ht="17.25">
      <c r="C82" s="239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276">
        <f t="shared" si="33"/>
        <v>0</v>
      </c>
    </row>
    <row r="83" spans="1:19" s="233" customFormat="1" ht="17.25">
      <c r="A83" s="525" t="s">
        <v>488</v>
      </c>
      <c r="C83" s="526" t="s">
        <v>489</v>
      </c>
      <c r="D83" s="497">
        <v>16317954</v>
      </c>
      <c r="E83" s="497">
        <v>560218</v>
      </c>
      <c r="F83" s="497">
        <v>5937816</v>
      </c>
      <c r="G83" s="497">
        <v>0</v>
      </c>
      <c r="H83" s="497">
        <v>6418155</v>
      </c>
      <c r="I83" s="497">
        <v>200856</v>
      </c>
      <c r="J83" s="497">
        <v>3454523</v>
      </c>
      <c r="K83" s="497">
        <v>350796</v>
      </c>
      <c r="L83" s="497">
        <v>168333</v>
      </c>
      <c r="M83" s="497">
        <v>6224</v>
      </c>
      <c r="N83" s="497">
        <v>15863</v>
      </c>
      <c r="O83" s="497">
        <v>9110</v>
      </c>
      <c r="P83" s="497">
        <v>906776</v>
      </c>
      <c r="Q83" s="278">
        <f t="shared" si="33"/>
        <v>34346624</v>
      </c>
      <c r="S83" s="233" t="str">
        <f>IF(Q83='04貸借対照'!R46,"O.K!","Check!")</f>
        <v>Check!</v>
      </c>
    </row>
    <row r="84" spans="1:19" s="233" customFormat="1" ht="17.25">
      <c r="A84" s="525" t="s">
        <v>490</v>
      </c>
      <c r="C84" s="490" t="s">
        <v>387</v>
      </c>
      <c r="D84" s="498">
        <v>-2736638</v>
      </c>
      <c r="E84" s="498">
        <v>-568111</v>
      </c>
      <c r="F84" s="498">
        <v>-4359587</v>
      </c>
      <c r="G84" s="498" t="s">
        <v>460</v>
      </c>
      <c r="H84" s="498">
        <v>-8992456</v>
      </c>
      <c r="I84" s="498">
        <v>-10759</v>
      </c>
      <c r="J84" s="498">
        <v>-449018</v>
      </c>
      <c r="K84" s="498">
        <v>-482743</v>
      </c>
      <c r="L84" s="498">
        <v>318289</v>
      </c>
      <c r="M84" s="498">
        <v>295837</v>
      </c>
      <c r="N84" s="498">
        <v>435650</v>
      </c>
      <c r="O84" s="498">
        <v>76079</v>
      </c>
      <c r="P84" s="498">
        <v>1658501</v>
      </c>
      <c r="Q84" s="499">
        <f t="shared" si="33"/>
        <v>-14814956</v>
      </c>
      <c r="S84" s="233" t="str">
        <f>IF(Q84='04貸借対照'!R51,"O.K!","Check!")</f>
        <v>O.K!</v>
      </c>
    </row>
    <row r="85" spans="1:17" s="233" customFormat="1" ht="17.25">
      <c r="A85" s="525" t="s">
        <v>510</v>
      </c>
      <c r="C85" s="528" t="s">
        <v>511</v>
      </c>
      <c r="D85" s="498">
        <v>0</v>
      </c>
      <c r="E85" s="498">
        <v>0</v>
      </c>
      <c r="F85" s="498">
        <v>0</v>
      </c>
      <c r="G85" s="498">
        <v>0</v>
      </c>
      <c r="H85" s="498">
        <v>0</v>
      </c>
      <c r="I85" s="498">
        <v>0</v>
      </c>
      <c r="J85" s="498">
        <v>0</v>
      </c>
      <c r="K85" s="498">
        <v>0</v>
      </c>
      <c r="L85" s="498">
        <v>0</v>
      </c>
      <c r="M85" s="498">
        <v>0</v>
      </c>
      <c r="N85" s="498">
        <v>0</v>
      </c>
      <c r="O85" s="498">
        <v>0</v>
      </c>
      <c r="P85" s="498">
        <v>0</v>
      </c>
      <c r="Q85" s="499">
        <f t="shared" si="33"/>
        <v>0</v>
      </c>
    </row>
    <row r="86" spans="1:19" s="233" customFormat="1" ht="17.25">
      <c r="A86" s="525" t="s">
        <v>491</v>
      </c>
      <c r="C86" s="490" t="s">
        <v>388</v>
      </c>
      <c r="D86" s="497">
        <v>30743199</v>
      </c>
      <c r="E86" s="497">
        <v>4749124</v>
      </c>
      <c r="F86" s="497">
        <v>10413290</v>
      </c>
      <c r="G86" s="497" t="s">
        <v>460</v>
      </c>
      <c r="H86" s="497">
        <v>7357415</v>
      </c>
      <c r="I86" s="497">
        <v>4311548</v>
      </c>
      <c r="J86" s="497">
        <v>3504638</v>
      </c>
      <c r="K86" s="497">
        <v>2286648</v>
      </c>
      <c r="L86" s="497">
        <v>4014547</v>
      </c>
      <c r="M86" s="497">
        <v>540528</v>
      </c>
      <c r="N86" s="497">
        <v>1300910</v>
      </c>
      <c r="O86" s="497">
        <v>554196</v>
      </c>
      <c r="P86" s="497">
        <v>7872580</v>
      </c>
      <c r="Q86" s="496">
        <f t="shared" si="33"/>
        <v>77648623</v>
      </c>
      <c r="S86" s="233" t="str">
        <f>IF(Q86='04貸借対照'!R66,"O.K!","Check!")</f>
        <v>O.K!</v>
      </c>
    </row>
    <row r="87" spans="1:19" s="233" customFormat="1" ht="17.25">
      <c r="A87" s="525" t="s">
        <v>492</v>
      </c>
      <c r="C87" s="489" t="s">
        <v>389</v>
      </c>
      <c r="D87" s="497">
        <v>19098673</v>
      </c>
      <c r="E87" s="497">
        <v>3608516</v>
      </c>
      <c r="F87" s="497">
        <v>7669379</v>
      </c>
      <c r="G87" s="497">
        <v>0</v>
      </c>
      <c r="H87" s="497">
        <v>6464986</v>
      </c>
      <c r="I87" s="497">
        <v>3521532</v>
      </c>
      <c r="J87" s="497">
        <v>2959538</v>
      </c>
      <c r="K87" s="497">
        <v>2023130</v>
      </c>
      <c r="L87" s="497">
        <v>3258518</v>
      </c>
      <c r="M87" s="497">
        <v>290823</v>
      </c>
      <c r="N87" s="497">
        <v>824231</v>
      </c>
      <c r="O87" s="497">
        <v>325586</v>
      </c>
      <c r="P87" s="497">
        <v>5193599</v>
      </c>
      <c r="Q87" s="278">
        <f t="shared" si="33"/>
        <v>55238511</v>
      </c>
      <c r="S87" s="233" t="str">
        <f>IF(Q87='04貸借対照'!R8,"O.K!","Check!")</f>
        <v>O.K!</v>
      </c>
    </row>
    <row r="88" spans="1:19" s="233" customFormat="1" ht="17.25">
      <c r="A88" s="525" t="s">
        <v>493</v>
      </c>
      <c r="C88" s="489" t="s">
        <v>390</v>
      </c>
      <c r="D88" s="497">
        <v>14579715</v>
      </c>
      <c r="E88" s="497">
        <v>2628845</v>
      </c>
      <c r="F88" s="497">
        <v>5802009</v>
      </c>
      <c r="G88" s="497">
        <v>0</v>
      </c>
      <c r="H88" s="497">
        <v>7090820</v>
      </c>
      <c r="I88" s="497">
        <v>2765567</v>
      </c>
      <c r="J88" s="497">
        <v>268350</v>
      </c>
      <c r="K88" s="497">
        <v>1335152</v>
      </c>
      <c r="L88" s="497">
        <v>2206996</v>
      </c>
      <c r="M88" s="497">
        <v>88363</v>
      </c>
      <c r="N88" s="497">
        <v>615524</v>
      </c>
      <c r="O88" s="497">
        <v>290903</v>
      </c>
      <c r="P88" s="497">
        <v>2912309</v>
      </c>
      <c r="Q88" s="278">
        <f t="shared" si="33"/>
        <v>40584553</v>
      </c>
      <c r="S88" s="233" t="str">
        <f>IF(Q88='04貸借対照'!R24,"O.K!","Check!")</f>
        <v>O.K!</v>
      </c>
    </row>
    <row r="89" spans="1:19" s="233" customFormat="1" ht="17.25">
      <c r="A89" s="525" t="s">
        <v>494</v>
      </c>
      <c r="C89" s="243" t="s">
        <v>391</v>
      </c>
      <c r="D89" s="497">
        <v>11644526</v>
      </c>
      <c r="E89" s="497">
        <v>1140608</v>
      </c>
      <c r="F89" s="497">
        <v>2743911</v>
      </c>
      <c r="G89" s="497">
        <v>0</v>
      </c>
      <c r="H89" s="497">
        <v>892429</v>
      </c>
      <c r="I89" s="497">
        <v>790016</v>
      </c>
      <c r="J89" s="497">
        <v>545100</v>
      </c>
      <c r="K89" s="497">
        <v>263518</v>
      </c>
      <c r="L89" s="497">
        <v>756029</v>
      </c>
      <c r="M89" s="497">
        <v>249705</v>
      </c>
      <c r="N89" s="497">
        <v>476679</v>
      </c>
      <c r="O89" s="497">
        <v>228610</v>
      </c>
      <c r="P89" s="497">
        <v>2678981</v>
      </c>
      <c r="Q89" s="278">
        <f t="shared" si="33"/>
        <v>22410112</v>
      </c>
      <c r="S89" s="233" t="str">
        <f>IF(Q89='04貸借対照'!R16,"O.K!","Check!")</f>
        <v>O.K!</v>
      </c>
    </row>
    <row r="90" spans="1:19" s="233" customFormat="1" ht="17.25">
      <c r="A90" s="525" t="s">
        <v>434</v>
      </c>
      <c r="C90" s="243" t="s">
        <v>392</v>
      </c>
      <c r="D90" s="497">
        <v>2420091</v>
      </c>
      <c r="E90" s="497">
        <v>1271572</v>
      </c>
      <c r="F90" s="497">
        <v>1528180</v>
      </c>
      <c r="G90" s="497">
        <v>0</v>
      </c>
      <c r="H90" s="497">
        <v>2067609</v>
      </c>
      <c r="I90" s="497">
        <v>989253</v>
      </c>
      <c r="J90" s="497">
        <v>227393</v>
      </c>
      <c r="K90" s="497">
        <v>371525</v>
      </c>
      <c r="L90" s="497">
        <v>730337</v>
      </c>
      <c r="M90" s="497">
        <v>35553</v>
      </c>
      <c r="N90" s="497">
        <v>77660</v>
      </c>
      <c r="O90" s="497">
        <v>99015</v>
      </c>
      <c r="P90" s="497">
        <v>1077081</v>
      </c>
      <c r="Q90" s="278">
        <f t="shared" si="33"/>
        <v>10895269</v>
      </c>
      <c r="S90" s="233" t="str">
        <f>IF(Q90='04貸借対照'!R32,"O.K!","Check!")</f>
        <v>O.K!</v>
      </c>
    </row>
    <row r="91" spans="1:19" s="233" customFormat="1" ht="17.25">
      <c r="A91" s="525" t="s">
        <v>513</v>
      </c>
      <c r="C91" s="528" t="s">
        <v>512</v>
      </c>
      <c r="D91" s="498">
        <v>0</v>
      </c>
      <c r="E91" s="498">
        <v>0</v>
      </c>
      <c r="F91" s="498">
        <v>0</v>
      </c>
      <c r="G91" s="498">
        <v>0</v>
      </c>
      <c r="H91" s="498">
        <v>0</v>
      </c>
      <c r="I91" s="498">
        <v>0</v>
      </c>
      <c r="J91" s="498">
        <v>0</v>
      </c>
      <c r="K91" s="498">
        <v>0</v>
      </c>
      <c r="L91" s="498">
        <v>0</v>
      </c>
      <c r="M91" s="498">
        <v>0</v>
      </c>
      <c r="N91" s="498">
        <v>0</v>
      </c>
      <c r="O91" s="498">
        <v>0</v>
      </c>
      <c r="P91" s="498">
        <v>0</v>
      </c>
      <c r="Q91" s="499">
        <f>SUM(D91:P91)</f>
        <v>0</v>
      </c>
      <c r="S91" s="233" t="str">
        <f>IF(Q91='04貸借対照'!R22,"O.K!","Check!")</f>
        <v>O.K!</v>
      </c>
    </row>
    <row r="92" spans="1:19" s="233" customFormat="1" ht="17.25">
      <c r="A92" s="525" t="s">
        <v>515</v>
      </c>
      <c r="C92" s="528" t="s">
        <v>514</v>
      </c>
      <c r="D92" s="498">
        <v>162077</v>
      </c>
      <c r="E92" s="498">
        <v>856600</v>
      </c>
      <c r="F92" s="498">
        <v>1504872</v>
      </c>
      <c r="G92" s="498">
        <v>0</v>
      </c>
      <c r="H92" s="498">
        <v>773287</v>
      </c>
      <c r="I92" s="498">
        <v>366631</v>
      </c>
      <c r="J92" s="498">
        <v>3390</v>
      </c>
      <c r="K92" s="498">
        <v>711918</v>
      </c>
      <c r="L92" s="498">
        <v>590592</v>
      </c>
      <c r="M92" s="498">
        <v>114551</v>
      </c>
      <c r="N92" s="498">
        <v>156213</v>
      </c>
      <c r="O92" s="498">
        <v>79089</v>
      </c>
      <c r="P92" s="498">
        <v>1317914</v>
      </c>
      <c r="Q92" s="499">
        <v>6637134</v>
      </c>
      <c r="S92" s="233" t="str">
        <f>IF(Q92='04貸借対照'!R42,"O.K!","Check!")</f>
        <v>O.K!</v>
      </c>
    </row>
    <row r="93" spans="1:19" s="233" customFormat="1" ht="17.25">
      <c r="A93" s="525" t="s">
        <v>495</v>
      </c>
      <c r="C93" s="489" t="s">
        <v>393</v>
      </c>
      <c r="D93" s="497">
        <v>13581316</v>
      </c>
      <c r="E93" s="497">
        <v>-7893</v>
      </c>
      <c r="F93" s="497">
        <v>1578229</v>
      </c>
      <c r="G93" s="497" t="s">
        <v>460</v>
      </c>
      <c r="H93" s="497">
        <v>-2574301</v>
      </c>
      <c r="I93" s="497">
        <v>190097</v>
      </c>
      <c r="J93" s="497">
        <v>3005505</v>
      </c>
      <c r="K93" s="497">
        <v>-131947</v>
      </c>
      <c r="L93" s="497">
        <v>486622</v>
      </c>
      <c r="M93" s="497">
        <v>302061</v>
      </c>
      <c r="N93" s="497">
        <v>451513</v>
      </c>
      <c r="O93" s="497">
        <v>85189</v>
      </c>
      <c r="P93" s="497">
        <v>2565276</v>
      </c>
      <c r="Q93" s="278">
        <f t="shared" si="33"/>
        <v>19531667</v>
      </c>
      <c r="S93" s="233" t="str">
        <f>IF(Q93='04貸借対照'!R65,"O.K!","Check!")</f>
        <v>O.K!</v>
      </c>
    </row>
    <row r="94" spans="3:17" s="233" customFormat="1" ht="17.25">
      <c r="C94" s="239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276">
        <f t="shared" si="33"/>
        <v>0</v>
      </c>
    </row>
    <row r="95" spans="1:19" s="233" customFormat="1" ht="17.25">
      <c r="A95" s="525" t="s">
        <v>496</v>
      </c>
      <c r="C95" s="243" t="s">
        <v>394</v>
      </c>
      <c r="D95" s="497">
        <v>19476775</v>
      </c>
      <c r="E95" s="497">
        <v>6013539</v>
      </c>
      <c r="F95" s="497">
        <v>9184053</v>
      </c>
      <c r="G95" s="497">
        <v>1129</v>
      </c>
      <c r="H95" s="497">
        <v>5073280</v>
      </c>
      <c r="I95" s="497">
        <v>4394483</v>
      </c>
      <c r="J95" s="497">
        <v>1524354</v>
      </c>
      <c r="K95" s="497">
        <v>1174808</v>
      </c>
      <c r="L95" s="497">
        <v>3997505</v>
      </c>
      <c r="M95" s="497">
        <v>368991</v>
      </c>
      <c r="N95" s="497">
        <v>684097</v>
      </c>
      <c r="O95" s="497">
        <v>813758</v>
      </c>
      <c r="P95" s="497">
        <v>4146314</v>
      </c>
      <c r="Q95" s="278">
        <f t="shared" si="33"/>
        <v>56853086</v>
      </c>
      <c r="S95" s="233" t="str">
        <f>IF(Q95='02損益計算'!S8,"O.K!","Check!")</f>
        <v>O.K!</v>
      </c>
    </row>
    <row r="96" spans="1:19" s="233" customFormat="1" ht="17.25">
      <c r="A96" s="525" t="s">
        <v>497</v>
      </c>
      <c r="C96" s="243" t="s">
        <v>395</v>
      </c>
      <c r="D96" s="497">
        <v>21591525</v>
      </c>
      <c r="E96" s="497">
        <v>8028008</v>
      </c>
      <c r="F96" s="497">
        <v>8900237</v>
      </c>
      <c r="G96" s="497">
        <v>1129</v>
      </c>
      <c r="H96" s="497">
        <v>5953084</v>
      </c>
      <c r="I96" s="497">
        <v>4487009</v>
      </c>
      <c r="J96" s="497">
        <v>1703666</v>
      </c>
      <c r="K96" s="497">
        <v>1348364</v>
      </c>
      <c r="L96" s="497">
        <v>4137264</v>
      </c>
      <c r="M96" s="497">
        <v>487437</v>
      </c>
      <c r="N96" s="497">
        <v>748702</v>
      </c>
      <c r="O96" s="497">
        <v>837184</v>
      </c>
      <c r="P96" s="497">
        <v>4556158</v>
      </c>
      <c r="Q96" s="278">
        <f t="shared" si="33"/>
        <v>62779767</v>
      </c>
      <c r="S96" s="233" t="str">
        <f>IF(Q96='02損益計算'!S25,"O.K!","Check!")</f>
        <v>O.K!</v>
      </c>
    </row>
    <row r="97" spans="1:19" s="233" customFormat="1" ht="17.25">
      <c r="A97" s="525" t="s">
        <v>435</v>
      </c>
      <c r="C97" s="243" t="s">
        <v>396</v>
      </c>
      <c r="D97" s="497">
        <v>18462901</v>
      </c>
      <c r="E97" s="497">
        <v>4886216</v>
      </c>
      <c r="F97" s="497">
        <v>8156689</v>
      </c>
      <c r="G97" s="497">
        <v>0</v>
      </c>
      <c r="H97" s="497">
        <v>4132523</v>
      </c>
      <c r="I97" s="497">
        <v>4037763</v>
      </c>
      <c r="J97" s="497">
        <v>1283408</v>
      </c>
      <c r="K97" s="497">
        <v>693125</v>
      </c>
      <c r="L97" s="497">
        <v>2730000</v>
      </c>
      <c r="M97" s="497">
        <v>226150</v>
      </c>
      <c r="N97" s="497">
        <v>571913</v>
      </c>
      <c r="O97" s="497">
        <v>653978</v>
      </c>
      <c r="P97" s="497">
        <v>3198870</v>
      </c>
      <c r="Q97" s="278">
        <f t="shared" si="33"/>
        <v>49033536</v>
      </c>
      <c r="S97" s="233" t="str">
        <f>IF(Q97='02損益計算'!S9,"O.K!","Check!")</f>
        <v>O.K!</v>
      </c>
    </row>
    <row r="98" spans="1:19" s="233" customFormat="1" ht="17.25">
      <c r="A98" s="525" t="s">
        <v>498</v>
      </c>
      <c r="C98" s="243" t="s">
        <v>397</v>
      </c>
      <c r="D98" s="497">
        <v>17914063</v>
      </c>
      <c r="E98" s="497">
        <v>5624805</v>
      </c>
      <c r="F98" s="497">
        <v>7911325</v>
      </c>
      <c r="G98" s="497">
        <v>0</v>
      </c>
      <c r="H98" s="497">
        <v>4492918</v>
      </c>
      <c r="I98" s="497">
        <v>4137326</v>
      </c>
      <c r="J98" s="497">
        <v>1578812</v>
      </c>
      <c r="K98" s="497">
        <v>1260179</v>
      </c>
      <c r="L98" s="497">
        <v>3671717</v>
      </c>
      <c r="M98" s="497">
        <v>462676</v>
      </c>
      <c r="N98" s="497">
        <v>634798</v>
      </c>
      <c r="O98" s="497">
        <v>802050</v>
      </c>
      <c r="P98" s="497">
        <v>3697271</v>
      </c>
      <c r="Q98" s="278">
        <f t="shared" si="33"/>
        <v>52187940</v>
      </c>
      <c r="S98" s="233" t="str">
        <f>IF(Q98='02損益計算'!S26,"O.K!","Check!")</f>
        <v>O.K!</v>
      </c>
    </row>
    <row r="99" spans="1:19" s="233" customFormat="1" ht="17.25">
      <c r="A99" s="525" t="s">
        <v>499</v>
      </c>
      <c r="C99" s="243" t="s">
        <v>398</v>
      </c>
      <c r="D99" s="497">
        <v>927073</v>
      </c>
      <c r="E99" s="497">
        <v>1075804</v>
      </c>
      <c r="F99" s="497">
        <v>789074</v>
      </c>
      <c r="G99" s="497">
        <v>1129</v>
      </c>
      <c r="H99" s="497">
        <v>815406</v>
      </c>
      <c r="I99" s="497">
        <v>352549</v>
      </c>
      <c r="J99" s="497">
        <v>240946</v>
      </c>
      <c r="K99" s="497">
        <v>481683</v>
      </c>
      <c r="L99" s="497">
        <v>1239018</v>
      </c>
      <c r="M99" s="497">
        <v>142841</v>
      </c>
      <c r="N99" s="497">
        <v>75318</v>
      </c>
      <c r="O99" s="497">
        <v>159780</v>
      </c>
      <c r="P99" s="497">
        <v>947444</v>
      </c>
      <c r="Q99" s="278">
        <f t="shared" si="33"/>
        <v>7248065</v>
      </c>
      <c r="S99" s="233" t="str">
        <f>IF(Q99='02損益計算'!S15,"O.K!","Check!")</f>
        <v>O.K!</v>
      </c>
    </row>
    <row r="100" spans="1:19" s="233" customFormat="1" ht="17.25">
      <c r="A100" s="525" t="s">
        <v>500</v>
      </c>
      <c r="C100" s="243" t="s">
        <v>399</v>
      </c>
      <c r="D100" s="497">
        <v>821281</v>
      </c>
      <c r="E100" s="497">
        <v>190487</v>
      </c>
      <c r="F100" s="497">
        <v>525933</v>
      </c>
      <c r="G100" s="497">
        <v>1129</v>
      </c>
      <c r="H100" s="497">
        <v>726032</v>
      </c>
      <c r="I100" s="497">
        <v>233304</v>
      </c>
      <c r="J100" s="497">
        <v>82469</v>
      </c>
      <c r="K100" s="497">
        <v>44770</v>
      </c>
      <c r="L100" s="497">
        <v>169297</v>
      </c>
      <c r="M100" s="497">
        <v>6188</v>
      </c>
      <c r="N100" s="497">
        <v>30319</v>
      </c>
      <c r="O100" s="497">
        <v>14749</v>
      </c>
      <c r="P100" s="497">
        <v>663725</v>
      </c>
      <c r="Q100" s="278">
        <f t="shared" si="33"/>
        <v>3509683</v>
      </c>
      <c r="S100" s="233" t="str">
        <f>IF(Q100='02損益計算'!S31,"O.K!","Check!")</f>
        <v>O.K!</v>
      </c>
    </row>
    <row r="101" spans="1:19" s="233" customFormat="1" ht="17.25">
      <c r="A101" s="525" t="s">
        <v>501</v>
      </c>
      <c r="C101" s="243" t="s">
        <v>400</v>
      </c>
      <c r="D101" s="497">
        <v>2736638</v>
      </c>
      <c r="E101" s="497">
        <v>2108231</v>
      </c>
      <c r="F101" s="497">
        <v>4378429</v>
      </c>
      <c r="G101" s="497">
        <v>0</v>
      </c>
      <c r="H101" s="497">
        <v>9321639</v>
      </c>
      <c r="I101" s="497">
        <v>2774458</v>
      </c>
      <c r="J101" s="497">
        <v>466796</v>
      </c>
      <c r="K101" s="497">
        <v>780107</v>
      </c>
      <c r="L101" s="497">
        <v>777557</v>
      </c>
      <c r="M101" s="497">
        <v>31789</v>
      </c>
      <c r="N101" s="497">
        <v>26061</v>
      </c>
      <c r="O101" s="497">
        <v>886589</v>
      </c>
      <c r="P101" s="497"/>
      <c r="Q101" s="278">
        <f t="shared" si="33"/>
        <v>24288294</v>
      </c>
      <c r="S101" s="233" t="str">
        <f>IF(Q101='04貸借対照'!R64,"O.K!","Check!")</f>
        <v>O.K!</v>
      </c>
    </row>
    <row r="102" spans="1:19" s="233" customFormat="1" ht="17.25">
      <c r="A102" s="525" t="s">
        <v>502</v>
      </c>
      <c r="C102" s="243" t="s">
        <v>401</v>
      </c>
      <c r="D102" s="484">
        <v>0</v>
      </c>
      <c r="E102" s="484"/>
      <c r="F102" s="484">
        <v>0</v>
      </c>
      <c r="G102" s="484" t="s">
        <v>460</v>
      </c>
      <c r="H102" s="484">
        <v>550878</v>
      </c>
      <c r="I102" s="484">
        <v>0</v>
      </c>
      <c r="J102" s="484">
        <v>0</v>
      </c>
      <c r="K102" s="484">
        <v>15472</v>
      </c>
      <c r="L102" s="484"/>
      <c r="M102" s="484">
        <v>0</v>
      </c>
      <c r="N102" s="484">
        <v>0</v>
      </c>
      <c r="O102" s="484">
        <v>0</v>
      </c>
      <c r="P102" s="484">
        <v>0</v>
      </c>
      <c r="Q102" s="278">
        <f t="shared" si="33"/>
        <v>566350</v>
      </c>
      <c r="S102" s="233" t="str">
        <f>IF(Q102='04貸借対照'!R67,"O.K!","Check!")</f>
        <v>O.K!</v>
      </c>
    </row>
    <row r="103" spans="3:17" s="233" customFormat="1" ht="17.25">
      <c r="C103" s="239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276">
        <f t="shared" si="33"/>
        <v>0</v>
      </c>
    </row>
    <row r="104" spans="1:19" s="233" customFormat="1" ht="17.25">
      <c r="A104" s="525" t="s">
        <v>504</v>
      </c>
      <c r="C104" s="486" t="s">
        <v>402</v>
      </c>
      <c r="D104" s="497">
        <v>10698910</v>
      </c>
      <c r="E104" s="497">
        <v>795161</v>
      </c>
      <c r="F104" s="497">
        <v>5297591</v>
      </c>
      <c r="G104" s="497">
        <v>0</v>
      </c>
      <c r="H104" s="497">
        <v>5993045</v>
      </c>
      <c r="I104" s="497">
        <v>2765567</v>
      </c>
      <c r="J104" s="497">
        <v>268350</v>
      </c>
      <c r="K104" s="497">
        <v>1332851</v>
      </c>
      <c r="L104" s="497">
        <v>1489276</v>
      </c>
      <c r="M104" s="497">
        <v>88363</v>
      </c>
      <c r="N104" s="497">
        <v>589417</v>
      </c>
      <c r="O104" s="497">
        <v>243403</v>
      </c>
      <c r="P104" s="497">
        <v>2861217</v>
      </c>
      <c r="Q104" s="492">
        <v>32423151</v>
      </c>
      <c r="S104" s="233" t="str">
        <f>IF(Q104='04貸借対照'!R25+'04貸借対照'!R27,"O.K!","Check!")</f>
        <v>O.K!</v>
      </c>
    </row>
    <row r="105" spans="1:19" s="233" customFormat="1" ht="17.25">
      <c r="A105" s="239" t="s">
        <v>436</v>
      </c>
      <c r="C105" s="527" t="s">
        <v>516</v>
      </c>
      <c r="D105" s="497">
        <v>0</v>
      </c>
      <c r="E105" s="497">
        <v>0</v>
      </c>
      <c r="F105" s="497">
        <v>0</v>
      </c>
      <c r="G105" s="497">
        <v>0</v>
      </c>
      <c r="H105" s="497">
        <v>400000</v>
      </c>
      <c r="I105" s="497">
        <v>0</v>
      </c>
      <c r="J105" s="497">
        <v>0</v>
      </c>
      <c r="K105" s="497">
        <v>0</v>
      </c>
      <c r="L105" s="497">
        <v>600000</v>
      </c>
      <c r="M105" s="497">
        <v>0</v>
      </c>
      <c r="N105" s="497">
        <v>0</v>
      </c>
      <c r="O105" s="497">
        <v>47500</v>
      </c>
      <c r="P105" s="497">
        <v>0</v>
      </c>
      <c r="Q105" s="492">
        <v>1047500</v>
      </c>
      <c r="S105" s="233" t="str">
        <f>IF(Q105='04貸借対照'!R28,"O.K!","Check!")</f>
        <v>O.K!</v>
      </c>
    </row>
    <row r="106" spans="1:19" s="233" customFormat="1" ht="17.25">
      <c r="A106" s="525" t="s">
        <v>505</v>
      </c>
      <c r="C106" s="527" t="s">
        <v>503</v>
      </c>
      <c r="D106" s="497">
        <v>600907</v>
      </c>
      <c r="E106" s="497">
        <v>138745</v>
      </c>
      <c r="F106" s="497">
        <v>728287</v>
      </c>
      <c r="G106" s="497">
        <v>0</v>
      </c>
      <c r="H106" s="497">
        <v>616923</v>
      </c>
      <c r="I106" s="497">
        <v>341809</v>
      </c>
      <c r="J106" s="497">
        <v>59154</v>
      </c>
      <c r="K106" s="497">
        <v>92535</v>
      </c>
      <c r="L106" s="497">
        <v>252000</v>
      </c>
      <c r="M106" s="497">
        <v>16326</v>
      </c>
      <c r="N106" s="497">
        <v>27193</v>
      </c>
      <c r="O106" s="497">
        <v>27252</v>
      </c>
      <c r="P106" s="497">
        <v>279332</v>
      </c>
      <c r="Q106" s="492">
        <v>3180463</v>
      </c>
      <c r="S106" s="233" t="str">
        <f>IF(Q106='04貸借対照'!R33,"O.K!","Check!")</f>
        <v>O.K!</v>
      </c>
    </row>
    <row r="107" spans="1:19" s="233" customFormat="1" ht="17.25">
      <c r="A107" s="525" t="s">
        <v>507</v>
      </c>
      <c r="C107" s="527" t="s">
        <v>516</v>
      </c>
      <c r="D107" s="497"/>
      <c r="E107" s="497"/>
      <c r="F107" s="497"/>
      <c r="G107" s="497"/>
      <c r="H107" s="497">
        <v>98636</v>
      </c>
      <c r="I107" s="497"/>
      <c r="J107" s="497"/>
      <c r="K107" s="497"/>
      <c r="L107" s="497"/>
      <c r="M107" s="497"/>
      <c r="N107" s="497"/>
      <c r="O107" s="497"/>
      <c r="P107" s="497"/>
      <c r="Q107" s="492">
        <v>98636</v>
      </c>
      <c r="S107" s="233" t="str">
        <f>IF(Q107='04貸借対照'!R34,"O.K!","Check!")</f>
        <v>O.K!</v>
      </c>
    </row>
    <row r="108" spans="1:19" s="233" customFormat="1" ht="17.25">
      <c r="A108" s="525" t="s">
        <v>506</v>
      </c>
      <c r="C108" s="527" t="s">
        <v>517</v>
      </c>
      <c r="D108" s="497">
        <v>0</v>
      </c>
      <c r="E108" s="497"/>
      <c r="F108" s="497">
        <v>0</v>
      </c>
      <c r="G108" s="497">
        <v>0</v>
      </c>
      <c r="H108" s="497">
        <v>100000</v>
      </c>
      <c r="I108" s="497"/>
      <c r="J108" s="497">
        <v>0</v>
      </c>
      <c r="K108" s="497"/>
      <c r="L108" s="497">
        <v>0</v>
      </c>
      <c r="M108" s="497">
        <v>0</v>
      </c>
      <c r="N108" s="497">
        <v>0</v>
      </c>
      <c r="O108" s="497">
        <v>0</v>
      </c>
      <c r="P108" s="497">
        <v>0</v>
      </c>
      <c r="Q108" s="492">
        <v>100000</v>
      </c>
      <c r="S108" s="233" t="str">
        <f>IF(Q108='04貸借対照'!R36,"O.K!","Check!")</f>
        <v>O.K!</v>
      </c>
    </row>
    <row r="109" spans="1:19" s="233" customFormat="1" ht="17.25">
      <c r="A109" s="239" t="s">
        <v>434</v>
      </c>
      <c r="C109" s="486" t="s">
        <v>403</v>
      </c>
      <c r="D109" s="497">
        <v>0</v>
      </c>
      <c r="E109" s="497">
        <v>350000</v>
      </c>
      <c r="F109" s="497">
        <v>0</v>
      </c>
      <c r="G109" s="497">
        <v>0</v>
      </c>
      <c r="H109" s="497">
        <v>800000</v>
      </c>
      <c r="I109" s="497">
        <v>270000</v>
      </c>
      <c r="J109" s="497">
        <v>0</v>
      </c>
      <c r="K109" s="497"/>
      <c r="L109" s="497">
        <v>0</v>
      </c>
      <c r="M109" s="497">
        <v>0</v>
      </c>
      <c r="N109" s="497">
        <v>0</v>
      </c>
      <c r="O109" s="497">
        <v>0</v>
      </c>
      <c r="P109" s="497">
        <v>0</v>
      </c>
      <c r="Q109" s="492">
        <v>1420000</v>
      </c>
      <c r="S109" s="233" t="str">
        <f>IF(Q109='04貸借対照'!R39,"O.K!","Check!")</f>
        <v>O.K!</v>
      </c>
    </row>
    <row r="110" spans="1:19" s="233" customFormat="1" ht="17.25">
      <c r="A110" s="525" t="s">
        <v>508</v>
      </c>
      <c r="C110" s="486" t="s">
        <v>404</v>
      </c>
      <c r="D110" s="497">
        <v>130128</v>
      </c>
      <c r="E110" s="497">
        <v>12785</v>
      </c>
      <c r="F110" s="497">
        <v>214820</v>
      </c>
      <c r="G110" s="497">
        <v>1129</v>
      </c>
      <c r="H110" s="497">
        <v>203153</v>
      </c>
      <c r="I110" s="497">
        <v>92481</v>
      </c>
      <c r="J110" s="497">
        <v>22516</v>
      </c>
      <c r="K110" s="497">
        <v>27214</v>
      </c>
      <c r="L110" s="497">
        <v>32814</v>
      </c>
      <c r="M110" s="497">
        <v>2559</v>
      </c>
      <c r="N110" s="497">
        <v>13320</v>
      </c>
      <c r="O110" s="497">
        <v>4502</v>
      </c>
      <c r="P110" s="497">
        <v>45057</v>
      </c>
      <c r="Q110" s="492">
        <v>802478</v>
      </c>
      <c r="S110" s="233" t="str">
        <f>IF(Q110='02損益計算'!S32,"O.K!","Check!")</f>
        <v>O.K!</v>
      </c>
    </row>
    <row r="111" spans="1:19" s="233" customFormat="1" ht="17.25">
      <c r="A111" s="525" t="s">
        <v>509</v>
      </c>
      <c r="C111" s="486" t="s">
        <v>405</v>
      </c>
      <c r="D111" s="482">
        <v>0</v>
      </c>
      <c r="E111" s="482">
        <v>0</v>
      </c>
      <c r="F111" s="482">
        <v>0</v>
      </c>
      <c r="G111" s="482">
        <v>0</v>
      </c>
      <c r="H111" s="482">
        <v>0</v>
      </c>
      <c r="I111" s="482">
        <v>0</v>
      </c>
      <c r="J111" s="482">
        <v>0</v>
      </c>
      <c r="K111" s="482">
        <v>0</v>
      </c>
      <c r="L111" s="482">
        <v>0</v>
      </c>
      <c r="M111" s="482">
        <v>0</v>
      </c>
      <c r="N111" s="482">
        <v>0</v>
      </c>
      <c r="O111" s="482">
        <v>0</v>
      </c>
      <c r="P111" s="482">
        <v>0</v>
      </c>
      <c r="Q111" s="492">
        <f t="shared" si="33"/>
        <v>0</v>
      </c>
      <c r="S111" s="233" t="str">
        <f>IF(Q111='02損益計算'!S33,"O.K!","Check!")</f>
        <v>O.K!</v>
      </c>
    </row>
    <row r="112" spans="1:19" s="233" customFormat="1" ht="17.25">
      <c r="A112" s="525" t="s">
        <v>518</v>
      </c>
      <c r="C112" s="527" t="s">
        <v>520</v>
      </c>
      <c r="D112" s="497">
        <v>38556</v>
      </c>
      <c r="E112" s="497"/>
      <c r="F112" s="497">
        <v>93620</v>
      </c>
      <c r="G112" s="497"/>
      <c r="H112" s="497">
        <v>19844</v>
      </c>
      <c r="I112" s="497"/>
      <c r="J112" s="497"/>
      <c r="K112" s="497">
        <v>2301</v>
      </c>
      <c r="L112" s="497"/>
      <c r="M112" s="497"/>
      <c r="N112" s="497"/>
      <c r="O112" s="497"/>
      <c r="P112" s="497">
        <v>6161</v>
      </c>
      <c r="Q112" s="492">
        <v>160482</v>
      </c>
      <c r="S112" s="233" t="str">
        <f>IF(Q112='04貸借対照'!R30,"O.K!","Check!")</f>
        <v>O.K!</v>
      </c>
    </row>
    <row r="113" spans="1:19" s="233" customFormat="1" ht="17.25">
      <c r="A113" s="525" t="s">
        <v>519</v>
      </c>
      <c r="C113" s="527" t="s">
        <v>520</v>
      </c>
      <c r="D113" s="497">
        <v>33952</v>
      </c>
      <c r="E113" s="497">
        <v>11877</v>
      </c>
      <c r="F113" s="497">
        <v>55996</v>
      </c>
      <c r="G113" s="497"/>
      <c r="H113" s="497">
        <v>7379</v>
      </c>
      <c r="I113" s="497"/>
      <c r="J113" s="497"/>
      <c r="K113" s="497">
        <v>104</v>
      </c>
      <c r="L113" s="497"/>
      <c r="M113" s="497"/>
      <c r="N113" s="497"/>
      <c r="O113" s="497"/>
      <c r="P113" s="497">
        <v>2054</v>
      </c>
      <c r="Q113" s="492">
        <v>111362</v>
      </c>
      <c r="S113" s="233" t="str">
        <f>IF(Q113='04貸借対照'!R38,"O.K!","Check!")</f>
        <v>O.K!</v>
      </c>
    </row>
    <row r="114" s="233" customFormat="1" ht="17.25"/>
    <row r="115" s="233" customFormat="1" ht="17.25"/>
    <row r="116" s="233" customFormat="1" ht="17.25"/>
    <row r="117" s="233" customFormat="1" ht="17.25"/>
    <row r="118" s="233" customFormat="1" ht="17.25"/>
    <row r="119" s="233" customFormat="1" ht="17.25"/>
    <row r="120" s="233" customFormat="1" ht="17.25"/>
    <row r="121" s="233" customFormat="1" ht="17.25"/>
    <row r="122" s="233" customFormat="1" ht="17.25"/>
    <row r="123" s="233" customFormat="1" ht="17.25"/>
    <row r="124" s="233" customFormat="1" ht="17.25"/>
    <row r="125" s="233" customFormat="1" ht="17.25"/>
    <row r="126" s="233" customFormat="1" ht="17.25"/>
    <row r="127" s="233" customFormat="1" ht="17.25"/>
    <row r="128" s="233" customFormat="1" ht="17.25"/>
    <row r="129" s="233" customFormat="1" ht="17.25"/>
    <row r="130" s="233" customFormat="1" ht="17.25"/>
    <row r="131" s="233" customFormat="1" ht="17.25"/>
    <row r="132" s="233" customFormat="1" ht="17.25"/>
    <row r="133" s="233" customFormat="1" ht="17.25"/>
    <row r="134" s="233" customFormat="1" ht="17.25"/>
    <row r="135" s="233" customFormat="1" ht="17.25"/>
    <row r="136" s="233" customFormat="1" ht="17.25"/>
    <row r="137" s="233" customFormat="1" ht="17.25"/>
    <row r="138" s="233" customFormat="1" ht="17.25"/>
    <row r="139" s="233" customFormat="1" ht="17.25"/>
    <row r="140" s="233" customFormat="1" ht="17.25"/>
    <row r="141" s="233" customFormat="1" ht="17.25"/>
    <row r="142" s="233" customFormat="1" ht="17.25"/>
    <row r="143" s="233" customFormat="1" ht="17.25"/>
    <row r="144" s="233" customFormat="1" ht="17.25"/>
    <row r="145" s="233" customFormat="1" ht="17.25"/>
    <row r="146" s="233" customFormat="1" ht="17.25"/>
    <row r="147" s="233" customFormat="1" ht="17.25"/>
    <row r="148" s="233" customFormat="1" ht="17.25"/>
    <row r="149" s="233" customFormat="1" ht="17.25"/>
    <row r="150" s="233" customFormat="1" ht="17.25"/>
    <row r="151" s="233" customFormat="1" ht="17.25"/>
    <row r="152" s="233" customFormat="1" ht="17.25"/>
    <row r="153" s="233" customFormat="1" ht="17.25"/>
    <row r="154" s="233" customFormat="1" ht="17.25"/>
    <row r="155" s="233" customFormat="1" ht="17.25"/>
    <row r="156" s="233" customFormat="1" ht="17.25"/>
    <row r="157" s="233" customFormat="1" ht="17.25"/>
    <row r="158" s="233" customFormat="1" ht="17.25"/>
    <row r="159" s="233" customFormat="1" ht="17.25"/>
    <row r="160" s="233" customFormat="1" ht="17.25"/>
    <row r="161" s="233" customFormat="1" ht="17.25"/>
    <row r="162" s="233" customFormat="1" ht="17.25"/>
    <row r="163" s="233" customFormat="1" ht="17.25"/>
    <row r="164" s="233" customFormat="1" ht="17.25"/>
    <row r="165" s="233" customFormat="1" ht="17.25"/>
    <row r="166" s="233" customFormat="1" ht="17.25"/>
    <row r="167" s="233" customFormat="1" ht="17.25"/>
    <row r="168" s="233" customFormat="1" ht="17.25"/>
    <row r="169" s="233" customFormat="1" ht="17.25"/>
    <row r="170" s="233" customFormat="1" ht="17.25"/>
    <row r="171" s="233" customFormat="1" ht="17.25"/>
    <row r="172" s="233" customFormat="1" ht="17.25"/>
    <row r="173" s="233" customFormat="1" ht="17.25"/>
    <row r="174" s="233" customFormat="1" ht="17.25"/>
    <row r="175" s="233" customFormat="1" ht="17.25"/>
    <row r="176" s="233" customFormat="1" ht="17.25"/>
    <row r="177" s="233" customFormat="1" ht="17.25"/>
    <row r="178" s="233" customFormat="1" ht="17.25"/>
    <row r="179" s="233" customFormat="1" ht="17.25"/>
    <row r="180" s="233" customFormat="1" ht="17.25"/>
    <row r="181" s="233" customFormat="1" ht="17.25"/>
    <row r="182" s="233" customFormat="1" ht="17.25"/>
    <row r="183" s="233" customFormat="1" ht="17.25"/>
    <row r="184" s="233" customFormat="1" ht="17.25"/>
    <row r="185" s="233" customFormat="1" ht="17.25"/>
    <row r="186" s="233" customFormat="1" ht="17.25"/>
    <row r="187" s="233" customFormat="1" ht="17.25"/>
    <row r="188" s="233" customFormat="1" ht="17.25"/>
    <row r="189" s="233" customFormat="1" ht="17.25"/>
    <row r="190" s="233" customFormat="1" ht="17.25"/>
    <row r="191" s="233" customFormat="1" ht="17.25"/>
    <row r="192" s="233" customFormat="1" ht="17.25"/>
    <row r="193" s="233" customFormat="1" ht="17.25"/>
    <row r="194" s="233" customFormat="1" ht="17.25"/>
    <row r="195" s="233" customFormat="1" ht="17.25"/>
    <row r="196" s="233" customFormat="1" ht="17.25"/>
    <row r="197" s="233" customFormat="1" ht="17.25"/>
    <row r="198" s="233" customFormat="1" ht="17.25"/>
    <row r="199" s="233" customFormat="1" ht="17.25"/>
    <row r="200" s="233" customFormat="1" ht="17.25"/>
    <row r="201" s="233" customFormat="1" ht="17.25"/>
    <row r="202" s="233" customFormat="1" ht="17.25"/>
    <row r="203" s="233" customFormat="1" ht="17.25"/>
    <row r="204" s="233" customFormat="1" ht="17.25"/>
    <row r="205" s="233" customFormat="1" ht="17.25"/>
    <row r="206" s="233" customFormat="1" ht="17.25"/>
    <row r="207" s="233" customFormat="1" ht="17.25"/>
    <row r="208" s="233" customFormat="1" ht="17.25"/>
    <row r="209" s="233" customFormat="1" ht="17.25"/>
    <row r="210" s="233" customFormat="1" ht="17.25"/>
    <row r="211" s="233" customFormat="1" ht="17.25"/>
    <row r="212" s="233" customFormat="1" ht="17.25"/>
    <row r="213" s="233" customFormat="1" ht="17.25"/>
    <row r="214" s="233" customFormat="1" ht="17.25"/>
    <row r="215" s="233" customFormat="1" ht="17.25"/>
    <row r="216" s="233" customFormat="1" ht="17.25"/>
    <row r="217" s="233" customFormat="1" ht="17.25"/>
    <row r="218" s="233" customFormat="1" ht="17.25"/>
    <row r="219" s="233" customFormat="1" ht="17.25"/>
    <row r="220" s="233" customFormat="1" ht="17.25"/>
    <row r="221" s="233" customFormat="1" ht="17.25"/>
    <row r="222" s="233" customFormat="1" ht="17.25"/>
    <row r="223" s="233" customFormat="1" ht="17.25"/>
    <row r="224" s="233" customFormat="1" ht="17.25"/>
    <row r="225" s="233" customFormat="1" ht="17.25"/>
    <row r="226" s="233" customFormat="1" ht="17.25"/>
    <row r="227" s="233" customFormat="1" ht="17.25"/>
    <row r="228" s="233" customFormat="1" ht="17.25"/>
    <row r="229" s="233" customFormat="1" ht="17.25"/>
    <row r="230" s="233" customFormat="1" ht="17.25"/>
    <row r="231" s="233" customFormat="1" ht="17.25"/>
    <row r="232" s="233" customFormat="1" ht="17.25"/>
    <row r="233" s="233" customFormat="1" ht="17.25"/>
    <row r="234" s="233" customFormat="1" ht="17.25"/>
    <row r="235" s="233" customFormat="1" ht="17.25"/>
    <row r="236" s="233" customFormat="1" ht="17.25"/>
    <row r="237" s="233" customFormat="1" ht="17.25"/>
    <row r="238" s="233" customFormat="1" ht="17.25"/>
    <row r="239" s="233" customFormat="1" ht="17.25"/>
    <row r="240" s="233" customFormat="1" ht="17.25"/>
    <row r="241" s="233" customFormat="1" ht="17.25"/>
    <row r="242" s="233" customFormat="1" ht="17.25"/>
    <row r="243" s="233" customFormat="1" ht="17.25"/>
    <row r="244" s="233" customFormat="1" ht="17.25"/>
    <row r="245" s="233" customFormat="1" ht="17.25"/>
    <row r="246" s="233" customFormat="1" ht="17.25"/>
    <row r="247" s="233" customFormat="1" ht="17.25"/>
    <row r="248" s="233" customFormat="1" ht="17.25"/>
    <row r="249" s="233" customFormat="1" ht="17.25"/>
    <row r="250" s="233" customFormat="1" ht="17.25"/>
    <row r="251" s="233" customFormat="1" ht="17.25"/>
    <row r="252" s="233" customFormat="1" ht="17.25"/>
    <row r="253" s="233" customFormat="1" ht="17.25"/>
    <row r="254" s="233" customFormat="1" ht="17.25"/>
    <row r="255" s="233" customFormat="1" ht="17.25"/>
    <row r="256" s="233" customFormat="1" ht="17.25"/>
    <row r="257" s="233" customFormat="1" ht="17.25"/>
    <row r="258" s="233" customFormat="1" ht="17.25"/>
    <row r="259" s="233" customFormat="1" ht="17.25"/>
    <row r="260" s="233" customFormat="1" ht="17.25"/>
    <row r="261" s="233" customFormat="1" ht="17.25"/>
    <row r="262" s="233" customFormat="1" ht="17.25"/>
    <row r="263" s="233" customFormat="1" ht="17.25"/>
    <row r="264" s="233" customFormat="1" ht="17.25"/>
    <row r="265" s="233" customFormat="1" ht="17.25"/>
    <row r="266" s="233" customFormat="1" ht="17.25"/>
    <row r="267" s="233" customFormat="1" ht="17.25"/>
    <row r="268" s="233" customFormat="1" ht="17.25"/>
    <row r="269" s="233" customFormat="1" ht="17.25"/>
    <row r="270" s="233" customFormat="1" ht="17.25"/>
    <row r="271" s="233" customFormat="1" ht="17.25"/>
    <row r="272" s="233" customFormat="1" ht="17.25"/>
    <row r="273" s="233" customFormat="1" ht="17.25"/>
    <row r="274" s="233" customFormat="1" ht="17.25"/>
    <row r="275" s="233" customFormat="1" ht="17.25"/>
    <row r="276" s="233" customFormat="1" ht="17.25"/>
    <row r="277" s="233" customFormat="1" ht="17.25"/>
    <row r="278" s="233" customFormat="1" ht="17.25"/>
  </sheetData>
  <sheetProtection/>
  <mergeCells count="1">
    <mergeCell ref="G6:G7"/>
  </mergeCells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65" zoomScaleNormal="65" zoomScaleSheetLayoutView="65" zoomScalePageLayoutView="0" workbookViewId="0" topLeftCell="A1">
      <pane xSplit="6" ySplit="8" topLeftCell="I24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O38" sqref="O38"/>
    </sheetView>
  </sheetViews>
  <sheetFormatPr defaultColWidth="8.66015625" defaultRowHeight="18"/>
  <cols>
    <col min="1" max="1" width="1.66015625" style="304" customWidth="1"/>
    <col min="2" max="4" width="2.66015625" style="304" customWidth="1"/>
    <col min="5" max="5" width="18.66015625" style="304" customWidth="1"/>
    <col min="6" max="6" width="10.66015625" style="304" customWidth="1"/>
    <col min="7" max="19" width="12" style="304" customWidth="1"/>
    <col min="20" max="20" width="13.16015625" style="304" customWidth="1"/>
    <col min="21" max="21" width="1.66015625" style="304" customWidth="1"/>
    <col min="22" max="22" width="2.66015625" style="304" customWidth="1"/>
    <col min="23" max="16384" width="8.66015625" style="304" customWidth="1"/>
  </cols>
  <sheetData>
    <row r="1" ht="21" customHeight="1">
      <c r="B1" s="303" t="s">
        <v>469</v>
      </c>
    </row>
    <row r="2" ht="21" customHeight="1"/>
    <row r="3" spans="2:20" ht="21" customHeight="1" thickBot="1">
      <c r="B3" s="305" t="s">
        <v>189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6" t="s">
        <v>133</v>
      </c>
    </row>
    <row r="4" spans="2:21" ht="21" customHeight="1">
      <c r="B4" s="307"/>
      <c r="G4" s="288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289"/>
      <c r="U4" s="307"/>
    </row>
    <row r="5" spans="2:21" ht="21" customHeight="1">
      <c r="B5" s="307"/>
      <c r="E5" s="304" t="s">
        <v>180</v>
      </c>
      <c r="G5" s="290" t="s">
        <v>2</v>
      </c>
      <c r="H5" s="291" t="s">
        <v>3</v>
      </c>
      <c r="I5" s="291" t="s">
        <v>4</v>
      </c>
      <c r="J5" s="37" t="s">
        <v>5</v>
      </c>
      <c r="K5" s="291" t="s">
        <v>6</v>
      </c>
      <c r="L5" s="291" t="s">
        <v>7</v>
      </c>
      <c r="M5" s="291" t="s">
        <v>8</v>
      </c>
      <c r="N5" s="291" t="s">
        <v>222</v>
      </c>
      <c r="O5" s="291" t="s">
        <v>223</v>
      </c>
      <c r="P5" s="291" t="s">
        <v>224</v>
      </c>
      <c r="Q5" s="291" t="s">
        <v>9</v>
      </c>
      <c r="R5" s="291" t="s">
        <v>225</v>
      </c>
      <c r="S5" s="291" t="s">
        <v>10</v>
      </c>
      <c r="T5" s="289"/>
      <c r="U5" s="307"/>
    </row>
    <row r="6" spans="2:21" ht="21" customHeight="1">
      <c r="B6" s="307"/>
      <c r="G6" s="288"/>
      <c r="H6" s="77"/>
      <c r="I6" s="77"/>
      <c r="J6" s="534" t="s">
        <v>458</v>
      </c>
      <c r="K6" s="77"/>
      <c r="L6" s="77"/>
      <c r="M6" s="77"/>
      <c r="N6" s="77"/>
      <c r="O6" s="77"/>
      <c r="P6" s="77"/>
      <c r="Q6" s="77"/>
      <c r="R6" s="77"/>
      <c r="S6" s="77"/>
      <c r="T6" s="292" t="s">
        <v>11</v>
      </c>
      <c r="U6" s="307"/>
    </row>
    <row r="7" spans="2:21" ht="21" customHeight="1">
      <c r="B7" s="307"/>
      <c r="D7" s="304" t="s">
        <v>57</v>
      </c>
      <c r="G7" s="288" t="s">
        <v>333</v>
      </c>
      <c r="H7" s="77" t="s">
        <v>333</v>
      </c>
      <c r="I7" s="77"/>
      <c r="J7" s="534"/>
      <c r="K7" s="77"/>
      <c r="L7" s="77"/>
      <c r="M7" s="77" t="s">
        <v>333</v>
      </c>
      <c r="N7" s="77" t="s">
        <v>334</v>
      </c>
      <c r="O7" s="77" t="s">
        <v>335</v>
      </c>
      <c r="P7" s="77" t="s">
        <v>13</v>
      </c>
      <c r="Q7" s="77" t="s">
        <v>13</v>
      </c>
      <c r="R7" s="77" t="s">
        <v>336</v>
      </c>
      <c r="S7" s="77"/>
      <c r="T7" s="295"/>
      <c r="U7" s="307"/>
    </row>
    <row r="8" spans="2:21" ht="21" customHeight="1" thickBot="1">
      <c r="B8" s="308"/>
      <c r="C8" s="305"/>
      <c r="D8" s="305"/>
      <c r="E8" s="305"/>
      <c r="F8" s="309"/>
      <c r="G8" s="117" t="s">
        <v>337</v>
      </c>
      <c r="H8" s="81" t="s">
        <v>338</v>
      </c>
      <c r="I8" s="81" t="s">
        <v>14</v>
      </c>
      <c r="J8" s="432" t="s">
        <v>446</v>
      </c>
      <c r="K8" s="81" t="s">
        <v>297</v>
      </c>
      <c r="L8" s="81" t="s">
        <v>365</v>
      </c>
      <c r="M8" s="81" t="s">
        <v>16</v>
      </c>
      <c r="N8" s="81" t="s">
        <v>296</v>
      </c>
      <c r="O8" s="81" t="s">
        <v>315</v>
      </c>
      <c r="P8" s="81" t="s">
        <v>58</v>
      </c>
      <c r="Q8" s="81" t="s">
        <v>59</v>
      </c>
      <c r="R8" s="81" t="s">
        <v>228</v>
      </c>
      <c r="S8" s="81" t="s">
        <v>17</v>
      </c>
      <c r="T8" s="294"/>
      <c r="U8" s="307"/>
    </row>
    <row r="9" spans="2:21" ht="21" customHeight="1">
      <c r="B9" s="307" t="s">
        <v>190</v>
      </c>
      <c r="G9" s="310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307"/>
    </row>
    <row r="10" spans="2:21" ht="21" customHeight="1">
      <c r="B10" s="307"/>
      <c r="C10" s="304" t="s">
        <v>191</v>
      </c>
      <c r="G10" s="313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2"/>
      <c r="U10" s="307"/>
    </row>
    <row r="11" spans="2:21" ht="21" customHeight="1">
      <c r="B11" s="307"/>
      <c r="D11" s="304" t="s">
        <v>192</v>
      </c>
      <c r="F11" s="315" t="s">
        <v>193</v>
      </c>
      <c r="G11" s="316">
        <v>158991</v>
      </c>
      <c r="H11" s="317">
        <v>49870</v>
      </c>
      <c r="I11" s="317">
        <v>69809</v>
      </c>
      <c r="J11" s="436">
        <v>0</v>
      </c>
      <c r="K11" s="317">
        <v>329491</v>
      </c>
      <c r="L11" s="317">
        <v>40408</v>
      </c>
      <c r="M11" s="317">
        <v>53174</v>
      </c>
      <c r="N11" s="317">
        <v>37991</v>
      </c>
      <c r="O11" s="317">
        <v>146900</v>
      </c>
      <c r="P11" s="317">
        <v>0</v>
      </c>
      <c r="Q11" s="317">
        <v>0</v>
      </c>
      <c r="R11" s="317">
        <v>80000</v>
      </c>
      <c r="S11" s="317">
        <v>94952</v>
      </c>
      <c r="T11" s="318">
        <f>SUM(G11:S11)</f>
        <v>1061586</v>
      </c>
      <c r="U11" s="307"/>
    </row>
    <row r="12" spans="2:21" ht="21" customHeight="1">
      <c r="B12" s="307"/>
      <c r="E12" s="319"/>
      <c r="F12" s="320" t="s">
        <v>194</v>
      </c>
      <c r="G12" s="321">
        <v>144415</v>
      </c>
      <c r="H12" s="322">
        <v>49870</v>
      </c>
      <c r="I12" s="322">
        <v>69809</v>
      </c>
      <c r="J12" s="437">
        <v>0</v>
      </c>
      <c r="K12" s="322">
        <v>279491</v>
      </c>
      <c r="L12" s="322">
        <v>20663</v>
      </c>
      <c r="M12" s="322">
        <v>53174</v>
      </c>
      <c r="N12" s="322">
        <v>37991</v>
      </c>
      <c r="O12" s="322">
        <v>146900</v>
      </c>
      <c r="P12" s="322">
        <v>0</v>
      </c>
      <c r="Q12" s="322">
        <v>3346</v>
      </c>
      <c r="R12" s="322">
        <v>70000</v>
      </c>
      <c r="S12" s="322">
        <v>94952</v>
      </c>
      <c r="T12" s="323">
        <f aca="true" t="shared" si="0" ref="T12:T53">SUM(G12:S12)</f>
        <v>970611</v>
      </c>
      <c r="U12" s="307"/>
    </row>
    <row r="13" spans="2:21" ht="21" customHeight="1">
      <c r="B13" s="307"/>
      <c r="E13" s="304" t="s">
        <v>195</v>
      </c>
      <c r="F13" s="315" t="s">
        <v>193</v>
      </c>
      <c r="G13" s="324">
        <v>136896</v>
      </c>
      <c r="H13" s="325">
        <v>49870</v>
      </c>
      <c r="I13" s="325">
        <v>69809</v>
      </c>
      <c r="J13" s="438">
        <v>0</v>
      </c>
      <c r="K13" s="325">
        <v>329491</v>
      </c>
      <c r="L13" s="325">
        <v>40408</v>
      </c>
      <c r="M13" s="325">
        <v>53174</v>
      </c>
      <c r="N13" s="325">
        <v>37991</v>
      </c>
      <c r="O13" s="325">
        <v>146708</v>
      </c>
      <c r="P13" s="325">
        <v>0</v>
      </c>
      <c r="Q13" s="325">
        <v>0</v>
      </c>
      <c r="R13" s="325">
        <v>45000</v>
      </c>
      <c r="S13" s="325">
        <v>94952</v>
      </c>
      <c r="T13" s="318">
        <f t="shared" si="0"/>
        <v>1004299</v>
      </c>
      <c r="U13" s="307"/>
    </row>
    <row r="14" spans="2:21" ht="21" customHeight="1">
      <c r="B14" s="307"/>
      <c r="E14" s="319"/>
      <c r="F14" s="320" t="s">
        <v>194</v>
      </c>
      <c r="G14" s="326">
        <v>122320</v>
      </c>
      <c r="H14" s="327">
        <v>49870</v>
      </c>
      <c r="I14" s="327">
        <v>69809</v>
      </c>
      <c r="J14" s="439">
        <v>0</v>
      </c>
      <c r="K14" s="327">
        <v>279491</v>
      </c>
      <c r="L14" s="327">
        <v>20663</v>
      </c>
      <c r="M14" s="327">
        <v>53174</v>
      </c>
      <c r="N14" s="327">
        <v>37991</v>
      </c>
      <c r="O14" s="327">
        <v>146708</v>
      </c>
      <c r="P14" s="327">
        <v>0</v>
      </c>
      <c r="Q14" s="327">
        <v>0</v>
      </c>
      <c r="R14" s="327">
        <v>40000</v>
      </c>
      <c r="S14" s="327">
        <v>94952</v>
      </c>
      <c r="T14" s="323">
        <f t="shared" si="0"/>
        <v>914978</v>
      </c>
      <c r="U14" s="307"/>
    </row>
    <row r="15" spans="2:21" ht="21" customHeight="1">
      <c r="B15" s="307"/>
      <c r="E15" s="304" t="s">
        <v>196</v>
      </c>
      <c r="F15" s="315" t="s">
        <v>193</v>
      </c>
      <c r="G15" s="324">
        <v>0</v>
      </c>
      <c r="H15" s="325">
        <v>0</v>
      </c>
      <c r="I15" s="325">
        <v>0</v>
      </c>
      <c r="J15" s="438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192</v>
      </c>
      <c r="P15" s="325">
        <v>0</v>
      </c>
      <c r="Q15" s="325">
        <v>0</v>
      </c>
      <c r="R15" s="325">
        <v>35000</v>
      </c>
      <c r="S15" s="325">
        <v>0</v>
      </c>
      <c r="T15" s="318">
        <f t="shared" si="0"/>
        <v>35192</v>
      </c>
      <c r="U15" s="307"/>
    </row>
    <row r="16" spans="2:21" ht="21" customHeight="1">
      <c r="B16" s="307"/>
      <c r="E16" s="319"/>
      <c r="F16" s="320" t="s">
        <v>194</v>
      </c>
      <c r="G16" s="326">
        <v>0</v>
      </c>
      <c r="H16" s="327">
        <v>0</v>
      </c>
      <c r="I16" s="327">
        <v>0</v>
      </c>
      <c r="J16" s="439">
        <v>0</v>
      </c>
      <c r="K16" s="327">
        <v>0</v>
      </c>
      <c r="L16" s="327">
        <v>0</v>
      </c>
      <c r="M16" s="327">
        <v>0</v>
      </c>
      <c r="N16" s="327">
        <v>0</v>
      </c>
      <c r="O16" s="327">
        <v>192</v>
      </c>
      <c r="P16" s="327">
        <v>0</v>
      </c>
      <c r="Q16" s="327">
        <v>0</v>
      </c>
      <c r="R16" s="327">
        <v>30000</v>
      </c>
      <c r="S16" s="327">
        <v>0</v>
      </c>
      <c r="T16" s="323">
        <f t="shared" si="0"/>
        <v>30192</v>
      </c>
      <c r="U16" s="307"/>
    </row>
    <row r="17" spans="2:21" ht="21" customHeight="1">
      <c r="B17" s="307"/>
      <c r="C17" s="319"/>
      <c r="D17" s="319"/>
      <c r="E17" s="319" t="s">
        <v>177</v>
      </c>
      <c r="F17" s="320" t="s">
        <v>194</v>
      </c>
      <c r="G17" s="328">
        <v>22095</v>
      </c>
      <c r="H17" s="329">
        <v>0</v>
      </c>
      <c r="I17" s="329">
        <v>0</v>
      </c>
      <c r="J17" s="440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29">
        <v>3346</v>
      </c>
      <c r="R17" s="329">
        <v>0</v>
      </c>
      <c r="S17" s="329">
        <v>0</v>
      </c>
      <c r="T17" s="323">
        <f t="shared" si="0"/>
        <v>25441</v>
      </c>
      <c r="U17" s="307"/>
    </row>
    <row r="18" spans="2:21" ht="21" customHeight="1">
      <c r="B18" s="307"/>
      <c r="C18" s="304" t="s">
        <v>197</v>
      </c>
      <c r="G18" s="330"/>
      <c r="H18" s="331"/>
      <c r="I18" s="331"/>
      <c r="J18" s="441"/>
      <c r="K18" s="331"/>
      <c r="L18" s="331"/>
      <c r="M18" s="331"/>
      <c r="N18" s="331"/>
      <c r="O18" s="331"/>
      <c r="P18" s="331"/>
      <c r="Q18" s="331"/>
      <c r="R18" s="331"/>
      <c r="S18" s="331"/>
      <c r="T18" s="331">
        <f t="shared" si="0"/>
        <v>0</v>
      </c>
      <c r="U18" s="307"/>
    </row>
    <row r="19" spans="2:21" ht="21" customHeight="1">
      <c r="B19" s="307"/>
      <c r="D19" s="304" t="s">
        <v>198</v>
      </c>
      <c r="F19" s="315" t="s">
        <v>193</v>
      </c>
      <c r="G19" s="332">
        <v>396339</v>
      </c>
      <c r="H19" s="318">
        <v>459236</v>
      </c>
      <c r="I19" s="318">
        <v>275277</v>
      </c>
      <c r="J19" s="442">
        <v>0</v>
      </c>
      <c r="K19" s="318">
        <v>168597</v>
      </c>
      <c r="L19" s="318">
        <v>337686</v>
      </c>
      <c r="M19" s="318">
        <v>33833</v>
      </c>
      <c r="N19" s="318">
        <v>113576</v>
      </c>
      <c r="O19" s="318">
        <v>73843</v>
      </c>
      <c r="P19" s="318">
        <v>12591</v>
      </c>
      <c r="Q19" s="318">
        <v>2440</v>
      </c>
      <c r="R19" s="318">
        <v>50840</v>
      </c>
      <c r="S19" s="318">
        <v>173460</v>
      </c>
      <c r="T19" s="318">
        <f t="shared" si="0"/>
        <v>2097718</v>
      </c>
      <c r="U19" s="307"/>
    </row>
    <row r="20" spans="2:21" ht="21" customHeight="1">
      <c r="B20" s="307"/>
      <c r="E20" s="319"/>
      <c r="F20" s="320" t="s">
        <v>194</v>
      </c>
      <c r="G20" s="333">
        <v>396339</v>
      </c>
      <c r="H20" s="323">
        <v>826571</v>
      </c>
      <c r="I20" s="323">
        <v>275277</v>
      </c>
      <c r="J20" s="443">
        <v>0</v>
      </c>
      <c r="K20" s="323">
        <v>121030</v>
      </c>
      <c r="L20" s="323">
        <v>0</v>
      </c>
      <c r="M20" s="323">
        <v>166216</v>
      </c>
      <c r="N20" s="323">
        <v>127143</v>
      </c>
      <c r="O20" s="323">
        <v>226294</v>
      </c>
      <c r="P20" s="323">
        <v>110000</v>
      </c>
      <c r="Q20" s="323">
        <v>2440</v>
      </c>
      <c r="R20" s="323">
        <v>50840</v>
      </c>
      <c r="S20" s="323">
        <v>152546</v>
      </c>
      <c r="T20" s="323">
        <f t="shared" si="0"/>
        <v>2454696</v>
      </c>
      <c r="U20" s="307"/>
    </row>
    <row r="21" spans="2:21" ht="21" customHeight="1">
      <c r="B21" s="307"/>
      <c r="E21" s="304" t="s">
        <v>199</v>
      </c>
      <c r="F21" s="315" t="s">
        <v>193</v>
      </c>
      <c r="G21" s="332">
        <v>25815</v>
      </c>
      <c r="H21" s="318">
        <v>16924</v>
      </c>
      <c r="I21" s="318">
        <v>19515</v>
      </c>
      <c r="J21" s="442">
        <v>0</v>
      </c>
      <c r="K21" s="318">
        <v>6189</v>
      </c>
      <c r="L21" s="318">
        <v>4025</v>
      </c>
      <c r="M21" s="318">
        <v>1605</v>
      </c>
      <c r="N21" s="318">
        <v>859</v>
      </c>
      <c r="O21" s="318">
        <v>7186</v>
      </c>
      <c r="P21" s="318">
        <v>113</v>
      </c>
      <c r="Q21" s="318">
        <v>650</v>
      </c>
      <c r="R21" s="318">
        <v>1031</v>
      </c>
      <c r="S21" s="318">
        <v>3817</v>
      </c>
      <c r="T21" s="318">
        <f t="shared" si="0"/>
        <v>87729</v>
      </c>
      <c r="U21" s="307"/>
    </row>
    <row r="22" spans="2:21" ht="21" customHeight="1">
      <c r="B22" s="307"/>
      <c r="E22" s="319"/>
      <c r="F22" s="320" t="s">
        <v>194</v>
      </c>
      <c r="G22" s="333">
        <v>25815</v>
      </c>
      <c r="H22" s="323">
        <v>16924</v>
      </c>
      <c r="I22" s="323">
        <v>19515</v>
      </c>
      <c r="J22" s="443">
        <v>0</v>
      </c>
      <c r="K22" s="323">
        <v>6189</v>
      </c>
      <c r="L22" s="323">
        <v>0</v>
      </c>
      <c r="M22" s="323">
        <v>1605</v>
      </c>
      <c r="N22" s="323">
        <v>1718</v>
      </c>
      <c r="O22" s="323">
        <v>7186</v>
      </c>
      <c r="P22" s="323">
        <v>226</v>
      </c>
      <c r="Q22" s="323">
        <v>650</v>
      </c>
      <c r="R22" s="323">
        <v>1031</v>
      </c>
      <c r="S22" s="323">
        <v>3817</v>
      </c>
      <c r="T22" s="323">
        <f t="shared" si="0"/>
        <v>84676</v>
      </c>
      <c r="U22" s="307"/>
    </row>
    <row r="23" spans="2:21" ht="21" customHeight="1">
      <c r="B23" s="307"/>
      <c r="E23" s="334" t="s">
        <v>454</v>
      </c>
      <c r="F23" s="315" t="s">
        <v>193</v>
      </c>
      <c r="G23" s="332">
        <v>0</v>
      </c>
      <c r="H23" s="318">
        <v>321428</v>
      </c>
      <c r="I23" s="318">
        <v>153315</v>
      </c>
      <c r="J23" s="442">
        <v>0</v>
      </c>
      <c r="K23" s="318">
        <v>48840</v>
      </c>
      <c r="L23" s="318">
        <v>239134</v>
      </c>
      <c r="M23" s="318">
        <v>0</v>
      </c>
      <c r="N23" s="318">
        <v>88520</v>
      </c>
      <c r="O23" s="318">
        <v>7417</v>
      </c>
      <c r="P23" s="318">
        <v>0</v>
      </c>
      <c r="Q23" s="318">
        <v>0</v>
      </c>
      <c r="R23" s="318">
        <v>29494</v>
      </c>
      <c r="S23" s="318">
        <v>68353</v>
      </c>
      <c r="T23" s="318">
        <f t="shared" si="0"/>
        <v>956501</v>
      </c>
      <c r="U23" s="307"/>
    </row>
    <row r="24" spans="2:21" ht="21" customHeight="1">
      <c r="B24" s="307"/>
      <c r="E24" s="335"/>
      <c r="F24" s="320" t="s">
        <v>194</v>
      </c>
      <c r="G24" s="333">
        <v>0</v>
      </c>
      <c r="H24" s="323">
        <v>321428</v>
      </c>
      <c r="I24" s="323">
        <v>153315</v>
      </c>
      <c r="J24" s="443">
        <v>0</v>
      </c>
      <c r="K24" s="323"/>
      <c r="L24" s="323">
        <v>0</v>
      </c>
      <c r="M24" s="323">
        <v>0</v>
      </c>
      <c r="N24" s="323">
        <v>88520</v>
      </c>
      <c r="O24" s="323">
        <v>159417</v>
      </c>
      <c r="P24" s="323">
        <v>0</v>
      </c>
      <c r="Q24" s="323">
        <v>0</v>
      </c>
      <c r="R24" s="323">
        <v>29494</v>
      </c>
      <c r="S24" s="323">
        <v>68353</v>
      </c>
      <c r="T24" s="323">
        <f t="shared" si="0"/>
        <v>820527</v>
      </c>
      <c r="U24" s="307"/>
    </row>
    <row r="25" spans="2:21" ht="21" customHeight="1">
      <c r="B25" s="307"/>
      <c r="E25" s="334" t="s">
        <v>437</v>
      </c>
      <c r="F25" s="315" t="s">
        <v>193</v>
      </c>
      <c r="G25" s="332">
        <v>102599</v>
      </c>
      <c r="H25" s="318">
        <v>26167</v>
      </c>
      <c r="I25" s="318">
        <v>40640</v>
      </c>
      <c r="J25" s="442">
        <v>0</v>
      </c>
      <c r="K25" s="318">
        <v>34275</v>
      </c>
      <c r="L25" s="318">
        <v>33020</v>
      </c>
      <c r="M25" s="318">
        <v>0</v>
      </c>
      <c r="N25" s="318">
        <v>12217</v>
      </c>
      <c r="O25" s="318">
        <v>0</v>
      </c>
      <c r="P25" s="318">
        <v>4522</v>
      </c>
      <c r="Q25" s="318">
        <v>0</v>
      </c>
      <c r="R25" s="318">
        <v>7320</v>
      </c>
      <c r="S25" s="318">
        <v>20928</v>
      </c>
      <c r="T25" s="318">
        <f t="shared" si="0"/>
        <v>281688</v>
      </c>
      <c r="U25" s="307"/>
    </row>
    <row r="26" spans="2:21" ht="21" customHeight="1">
      <c r="B26" s="307"/>
      <c r="E26" s="319"/>
      <c r="F26" s="320" t="s">
        <v>194</v>
      </c>
      <c r="G26" s="333">
        <v>102599</v>
      </c>
      <c r="H26" s="323">
        <v>26167</v>
      </c>
      <c r="I26" s="323">
        <v>40640</v>
      </c>
      <c r="J26" s="443">
        <v>0</v>
      </c>
      <c r="K26" s="323">
        <v>34275</v>
      </c>
      <c r="L26" s="323"/>
      <c r="M26" s="323">
        <v>0</v>
      </c>
      <c r="N26" s="323">
        <v>12217</v>
      </c>
      <c r="O26" s="323">
        <v>0</v>
      </c>
      <c r="P26" s="323">
        <v>4522</v>
      </c>
      <c r="Q26" s="323">
        <v>0</v>
      </c>
      <c r="R26" s="323">
        <v>7320</v>
      </c>
      <c r="S26" s="323">
        <v>3488</v>
      </c>
      <c r="T26" s="323">
        <f t="shared" si="0"/>
        <v>231228</v>
      </c>
      <c r="U26" s="307"/>
    </row>
    <row r="27" spans="2:21" ht="21" customHeight="1">
      <c r="B27" s="307"/>
      <c r="E27" s="304" t="s">
        <v>200</v>
      </c>
      <c r="F27" s="315" t="s">
        <v>193</v>
      </c>
      <c r="G27" s="332">
        <v>183899</v>
      </c>
      <c r="H27" s="318">
        <v>74120</v>
      </c>
      <c r="I27" s="318">
        <v>47188</v>
      </c>
      <c r="J27" s="442">
        <v>0</v>
      </c>
      <c r="K27" s="318">
        <v>50591</v>
      </c>
      <c r="L27" s="318">
        <v>52154</v>
      </c>
      <c r="M27" s="318">
        <v>19174</v>
      </c>
      <c r="N27" s="424">
        <v>8360</v>
      </c>
      <c r="O27" s="318">
        <v>42484</v>
      </c>
      <c r="P27" s="318">
        <v>6196</v>
      </c>
      <c r="Q27" s="318">
        <v>0</v>
      </c>
      <c r="R27" s="318">
        <v>11400</v>
      </c>
      <c r="S27" s="318">
        <v>53474</v>
      </c>
      <c r="T27" s="318">
        <f t="shared" si="0"/>
        <v>549040</v>
      </c>
      <c r="U27" s="307"/>
    </row>
    <row r="28" spans="2:21" ht="21" customHeight="1">
      <c r="B28" s="307"/>
      <c r="E28" s="319" t="s">
        <v>201</v>
      </c>
      <c r="F28" s="320" t="s">
        <v>194</v>
      </c>
      <c r="G28" s="333">
        <v>183899</v>
      </c>
      <c r="H28" s="323">
        <v>74120</v>
      </c>
      <c r="I28" s="323">
        <v>47188</v>
      </c>
      <c r="J28" s="443">
        <v>0</v>
      </c>
      <c r="K28" s="323">
        <v>50591</v>
      </c>
      <c r="L28" s="323">
        <v>0</v>
      </c>
      <c r="M28" s="323">
        <v>0</v>
      </c>
      <c r="N28" s="426">
        <v>16720</v>
      </c>
      <c r="O28" s="323">
        <v>42484</v>
      </c>
      <c r="P28" s="323">
        <v>6196</v>
      </c>
      <c r="Q28" s="323">
        <v>0</v>
      </c>
      <c r="R28" s="323">
        <v>11400</v>
      </c>
      <c r="S28" s="323">
        <v>50000</v>
      </c>
      <c r="T28" s="323">
        <f t="shared" si="0"/>
        <v>482598</v>
      </c>
      <c r="U28" s="307"/>
    </row>
    <row r="29" spans="2:21" ht="21" customHeight="1">
      <c r="B29" s="307"/>
      <c r="E29" s="304" t="s">
        <v>202</v>
      </c>
      <c r="F29" s="315" t="s">
        <v>193</v>
      </c>
      <c r="G29" s="332">
        <v>0</v>
      </c>
      <c r="H29" s="318">
        <v>0</v>
      </c>
      <c r="I29" s="318">
        <v>0</v>
      </c>
      <c r="J29" s="442">
        <v>0</v>
      </c>
      <c r="K29" s="318">
        <v>0</v>
      </c>
      <c r="L29" s="318">
        <v>0</v>
      </c>
      <c r="M29" s="318">
        <v>0</v>
      </c>
      <c r="N29" s="318">
        <v>0</v>
      </c>
      <c r="O29" s="318">
        <v>0</v>
      </c>
      <c r="P29" s="318">
        <v>0</v>
      </c>
      <c r="Q29" s="318">
        <v>0</v>
      </c>
      <c r="R29" s="318">
        <v>0</v>
      </c>
      <c r="S29" s="318">
        <v>0</v>
      </c>
      <c r="T29" s="318">
        <f t="shared" si="0"/>
        <v>0</v>
      </c>
      <c r="U29" s="307"/>
    </row>
    <row r="30" spans="2:21" ht="21" customHeight="1">
      <c r="B30" s="307"/>
      <c r="E30" s="319"/>
      <c r="F30" s="320" t="s">
        <v>194</v>
      </c>
      <c r="G30" s="333">
        <v>0</v>
      </c>
      <c r="H30" s="323">
        <v>0</v>
      </c>
      <c r="I30" s="323">
        <v>0</v>
      </c>
      <c r="J30" s="44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f t="shared" si="0"/>
        <v>0</v>
      </c>
      <c r="U30" s="307"/>
    </row>
    <row r="31" spans="2:21" ht="21" customHeight="1">
      <c r="B31" s="307"/>
      <c r="E31" s="336" t="s">
        <v>265</v>
      </c>
      <c r="F31" s="315" t="s">
        <v>193</v>
      </c>
      <c r="G31" s="332">
        <v>0</v>
      </c>
      <c r="H31" s="318">
        <v>15221</v>
      </c>
      <c r="I31" s="318">
        <v>14619</v>
      </c>
      <c r="J31" s="442">
        <v>0</v>
      </c>
      <c r="K31" s="318">
        <v>14982</v>
      </c>
      <c r="L31" s="318">
        <v>9353</v>
      </c>
      <c r="M31" s="318">
        <v>3168</v>
      </c>
      <c r="N31" s="318">
        <v>3620</v>
      </c>
      <c r="O31" s="318">
        <v>6497</v>
      </c>
      <c r="P31" s="318">
        <v>1760</v>
      </c>
      <c r="Q31" s="318">
        <v>1290</v>
      </c>
      <c r="R31" s="318">
        <v>1595</v>
      </c>
      <c r="S31" s="318">
        <v>18527</v>
      </c>
      <c r="T31" s="318">
        <f t="shared" si="0"/>
        <v>90632</v>
      </c>
      <c r="U31" s="307"/>
    </row>
    <row r="32" spans="2:21" ht="21" customHeight="1">
      <c r="B32" s="307"/>
      <c r="E32" s="478"/>
      <c r="F32" s="320" t="s">
        <v>194</v>
      </c>
      <c r="G32" s="333">
        <v>0</v>
      </c>
      <c r="H32" s="323">
        <v>15221</v>
      </c>
      <c r="I32" s="323">
        <v>14619</v>
      </c>
      <c r="J32" s="443">
        <v>0</v>
      </c>
      <c r="K32" s="323">
        <v>16255</v>
      </c>
      <c r="L32" s="323">
        <v>0</v>
      </c>
      <c r="M32" s="323">
        <v>0</v>
      </c>
      <c r="N32" s="323">
        <v>3620</v>
      </c>
      <c r="O32" s="323">
        <v>6497</v>
      </c>
      <c r="P32" s="323">
        <v>1760</v>
      </c>
      <c r="Q32" s="323">
        <v>1290</v>
      </c>
      <c r="R32" s="323">
        <v>1595</v>
      </c>
      <c r="S32" s="323">
        <v>18527</v>
      </c>
      <c r="T32" s="323">
        <f t="shared" si="0"/>
        <v>79384</v>
      </c>
      <c r="U32" s="307"/>
    </row>
    <row r="33" spans="2:21" ht="21" customHeight="1">
      <c r="B33" s="307"/>
      <c r="E33" s="334" t="s">
        <v>295</v>
      </c>
      <c r="F33" s="315" t="s">
        <v>193</v>
      </c>
      <c r="G33" s="332">
        <v>84036</v>
      </c>
      <c r="H33" s="318">
        <v>5376</v>
      </c>
      <c r="I33" s="318">
        <v>0</v>
      </c>
      <c r="J33" s="442">
        <v>0</v>
      </c>
      <c r="K33" s="318">
        <v>12343</v>
      </c>
      <c r="L33" s="318">
        <v>0</v>
      </c>
      <c r="M33" s="318">
        <v>9886</v>
      </c>
      <c r="N33" s="318">
        <v>0</v>
      </c>
      <c r="O33" s="318">
        <v>10259</v>
      </c>
      <c r="P33" s="318">
        <v>0</v>
      </c>
      <c r="Q33" s="318">
        <v>0</v>
      </c>
      <c r="R33" s="318">
        <v>0</v>
      </c>
      <c r="S33" s="318">
        <v>8361</v>
      </c>
      <c r="T33" s="318">
        <f t="shared" si="0"/>
        <v>130261</v>
      </c>
      <c r="U33" s="307"/>
    </row>
    <row r="34" spans="2:21" ht="21" customHeight="1">
      <c r="B34" s="307"/>
      <c r="E34" s="319"/>
      <c r="F34" s="320" t="s">
        <v>194</v>
      </c>
      <c r="G34" s="333">
        <v>84036</v>
      </c>
      <c r="H34" s="323">
        <v>5376</v>
      </c>
      <c r="I34" s="323">
        <v>0</v>
      </c>
      <c r="J34" s="443">
        <v>0</v>
      </c>
      <c r="K34" s="323">
        <v>12343</v>
      </c>
      <c r="L34" s="323">
        <v>0</v>
      </c>
      <c r="M34" s="323">
        <v>9886</v>
      </c>
      <c r="N34" s="323">
        <v>0</v>
      </c>
      <c r="O34" s="323">
        <v>10259</v>
      </c>
      <c r="P34" s="323">
        <v>0</v>
      </c>
      <c r="Q34" s="323">
        <v>0</v>
      </c>
      <c r="R34" s="323">
        <v>0</v>
      </c>
      <c r="S34" s="323">
        <v>8361</v>
      </c>
      <c r="T34" s="323">
        <f t="shared" si="0"/>
        <v>130261</v>
      </c>
      <c r="U34" s="307"/>
    </row>
    <row r="35" spans="2:21" ht="21" customHeight="1">
      <c r="B35" s="307"/>
      <c r="E35" s="334" t="s">
        <v>455</v>
      </c>
      <c r="F35" s="315" t="s">
        <v>193</v>
      </c>
      <c r="G35" s="332">
        <v>0</v>
      </c>
      <c r="H35" s="318">
        <v>0</v>
      </c>
      <c r="I35" s="318">
        <v>0</v>
      </c>
      <c r="J35" s="442">
        <v>0</v>
      </c>
      <c r="K35" s="318">
        <v>1377</v>
      </c>
      <c r="L35" s="318">
        <v>0</v>
      </c>
      <c r="M35" s="318">
        <v>0</v>
      </c>
      <c r="N35" s="318">
        <v>0</v>
      </c>
      <c r="O35" s="318">
        <v>0</v>
      </c>
      <c r="P35" s="318">
        <v>0</v>
      </c>
      <c r="Q35" s="318">
        <v>500</v>
      </c>
      <c r="R35" s="318">
        <v>0</v>
      </c>
      <c r="S35" s="318">
        <v>0</v>
      </c>
      <c r="T35" s="318">
        <f t="shared" si="0"/>
        <v>1877</v>
      </c>
      <c r="U35" s="307"/>
    </row>
    <row r="36" spans="2:21" ht="21" customHeight="1">
      <c r="B36" s="307"/>
      <c r="E36" s="337" t="s">
        <v>456</v>
      </c>
      <c r="F36" s="320" t="s">
        <v>194</v>
      </c>
      <c r="G36" s="333">
        <v>0</v>
      </c>
      <c r="H36" s="323">
        <v>0</v>
      </c>
      <c r="I36" s="323">
        <v>0</v>
      </c>
      <c r="J36" s="443">
        <v>0</v>
      </c>
      <c r="K36" s="323">
        <v>1377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500</v>
      </c>
      <c r="R36" s="323">
        <v>0</v>
      </c>
      <c r="S36" s="323">
        <v>0</v>
      </c>
      <c r="T36" s="323">
        <f t="shared" si="0"/>
        <v>1877</v>
      </c>
      <c r="U36" s="307"/>
    </row>
    <row r="37" spans="2:21" ht="21" customHeight="1">
      <c r="B37" s="307"/>
      <c r="D37" s="319"/>
      <c r="E37" s="319" t="s">
        <v>177</v>
      </c>
      <c r="F37" s="320" t="s">
        <v>194</v>
      </c>
      <c r="G37" s="333"/>
      <c r="H37" s="323">
        <v>367335</v>
      </c>
      <c r="I37" s="323">
        <v>0</v>
      </c>
      <c r="J37" s="443">
        <v>0</v>
      </c>
      <c r="K37" s="323"/>
      <c r="L37" s="323">
        <v>0</v>
      </c>
      <c r="M37" s="323">
        <v>154725</v>
      </c>
      <c r="N37" s="323">
        <v>4348</v>
      </c>
      <c r="O37" s="323">
        <v>451</v>
      </c>
      <c r="P37" s="323">
        <v>97296</v>
      </c>
      <c r="Q37" s="323">
        <v>0</v>
      </c>
      <c r="R37" s="323">
        <v>0</v>
      </c>
      <c r="S37" s="323">
        <v>0</v>
      </c>
      <c r="T37" s="323">
        <f t="shared" si="0"/>
        <v>624155</v>
      </c>
      <c r="U37" s="307"/>
    </row>
    <row r="38" spans="2:21" ht="21" customHeight="1">
      <c r="B38" s="307"/>
      <c r="D38" s="304" t="s">
        <v>192</v>
      </c>
      <c r="F38" s="315" t="s">
        <v>193</v>
      </c>
      <c r="G38" s="332">
        <v>125772</v>
      </c>
      <c r="H38" s="318">
        <v>41207</v>
      </c>
      <c r="I38" s="318">
        <v>143380</v>
      </c>
      <c r="J38" s="442">
        <v>0</v>
      </c>
      <c r="K38" s="318">
        <v>401186</v>
      </c>
      <c r="L38" s="318">
        <v>87724</v>
      </c>
      <c r="M38" s="318">
        <v>62481</v>
      </c>
      <c r="N38" s="318">
        <v>113199</v>
      </c>
      <c r="O38" s="318">
        <v>43663</v>
      </c>
      <c r="P38" s="318">
        <v>1574</v>
      </c>
      <c r="Q38" s="318">
        <v>63511</v>
      </c>
      <c r="R38" s="318">
        <v>96270</v>
      </c>
      <c r="S38" s="318">
        <v>29762</v>
      </c>
      <c r="T38" s="318">
        <f t="shared" si="0"/>
        <v>1209729</v>
      </c>
      <c r="U38" s="307"/>
    </row>
    <row r="39" spans="2:21" ht="21" customHeight="1">
      <c r="B39" s="307"/>
      <c r="E39" s="319"/>
      <c r="F39" s="320" t="s">
        <v>194</v>
      </c>
      <c r="G39" s="333">
        <v>125772</v>
      </c>
      <c r="H39" s="323">
        <v>41207</v>
      </c>
      <c r="I39" s="323">
        <v>145855</v>
      </c>
      <c r="J39" s="443">
        <v>0</v>
      </c>
      <c r="K39" s="323">
        <v>370917</v>
      </c>
      <c r="L39" s="323">
        <v>87724</v>
      </c>
      <c r="M39" s="323">
        <v>62481</v>
      </c>
      <c r="N39" s="323">
        <v>264318</v>
      </c>
      <c r="O39" s="323">
        <v>738663</v>
      </c>
      <c r="P39" s="323">
        <v>2559</v>
      </c>
      <c r="Q39" s="323">
        <v>63511</v>
      </c>
      <c r="R39" s="323">
        <v>92488</v>
      </c>
      <c r="S39" s="323">
        <v>29762</v>
      </c>
      <c r="T39" s="323">
        <f t="shared" si="0"/>
        <v>2025257</v>
      </c>
      <c r="U39" s="307"/>
    </row>
    <row r="40" spans="2:21" ht="21" customHeight="1">
      <c r="B40" s="307"/>
      <c r="E40" s="304" t="s">
        <v>203</v>
      </c>
      <c r="F40" s="315" t="s">
        <v>193</v>
      </c>
      <c r="G40" s="423">
        <v>65772</v>
      </c>
      <c r="H40" s="424">
        <v>2693</v>
      </c>
      <c r="I40" s="424">
        <v>139176</v>
      </c>
      <c r="J40" s="444">
        <v>0</v>
      </c>
      <c r="K40" s="424">
        <v>130419</v>
      </c>
      <c r="L40" s="424">
        <v>60401</v>
      </c>
      <c r="M40" s="424">
        <v>15011</v>
      </c>
      <c r="N40" s="424">
        <v>16119</v>
      </c>
      <c r="O40" s="424">
        <v>21085</v>
      </c>
      <c r="P40" s="424">
        <v>1574</v>
      </c>
      <c r="Q40" s="424">
        <v>8880</v>
      </c>
      <c r="R40" s="424">
        <v>2717</v>
      </c>
      <c r="S40" s="424">
        <v>29762</v>
      </c>
      <c r="T40" s="318">
        <f t="shared" si="0"/>
        <v>493609</v>
      </c>
      <c r="U40" s="307"/>
    </row>
    <row r="41" spans="2:21" ht="21" customHeight="1">
      <c r="B41" s="307"/>
      <c r="E41" s="337" t="s">
        <v>439</v>
      </c>
      <c r="F41" s="320" t="s">
        <v>194</v>
      </c>
      <c r="G41" s="425">
        <v>65772</v>
      </c>
      <c r="H41" s="426">
        <v>2693</v>
      </c>
      <c r="I41" s="426">
        <v>139176</v>
      </c>
      <c r="J41" s="445">
        <v>0</v>
      </c>
      <c r="K41" s="426">
        <v>130419</v>
      </c>
      <c r="L41" s="426">
        <v>60401</v>
      </c>
      <c r="M41" s="426">
        <v>15011</v>
      </c>
      <c r="N41" s="426">
        <v>27137</v>
      </c>
      <c r="O41" s="426">
        <v>21085</v>
      </c>
      <c r="P41" s="426">
        <v>2559</v>
      </c>
      <c r="Q41" s="426">
        <v>8880</v>
      </c>
      <c r="R41" s="426">
        <v>2717</v>
      </c>
      <c r="S41" s="426">
        <v>29762</v>
      </c>
      <c r="T41" s="323">
        <f t="shared" si="0"/>
        <v>505612</v>
      </c>
      <c r="U41" s="307"/>
    </row>
    <row r="42" spans="2:21" ht="21" customHeight="1">
      <c r="B42" s="307"/>
      <c r="E42" s="304" t="s">
        <v>204</v>
      </c>
      <c r="F42" s="315" t="s">
        <v>193</v>
      </c>
      <c r="G42" s="423">
        <v>0</v>
      </c>
      <c r="H42" s="424">
        <v>0</v>
      </c>
      <c r="I42" s="424">
        <v>0</v>
      </c>
      <c r="J42" s="444">
        <v>0</v>
      </c>
      <c r="K42" s="424">
        <v>0</v>
      </c>
      <c r="L42" s="424">
        <v>0</v>
      </c>
      <c r="M42" s="424">
        <v>0</v>
      </c>
      <c r="N42" s="424">
        <v>0</v>
      </c>
      <c r="O42" s="424">
        <v>0</v>
      </c>
      <c r="P42" s="424">
        <v>0</v>
      </c>
      <c r="Q42" s="424">
        <v>0</v>
      </c>
      <c r="R42" s="424">
        <v>0</v>
      </c>
      <c r="S42" s="424"/>
      <c r="T42" s="318">
        <f t="shared" si="0"/>
        <v>0</v>
      </c>
      <c r="U42" s="307"/>
    </row>
    <row r="43" spans="2:21" ht="21" customHeight="1">
      <c r="B43" s="307"/>
      <c r="E43" s="319"/>
      <c r="F43" s="320" t="s">
        <v>194</v>
      </c>
      <c r="G43" s="425">
        <v>0</v>
      </c>
      <c r="H43" s="426">
        <v>0</v>
      </c>
      <c r="I43" s="426">
        <v>0</v>
      </c>
      <c r="J43" s="445">
        <v>0</v>
      </c>
      <c r="K43" s="426">
        <v>0</v>
      </c>
      <c r="L43" s="426">
        <v>0</v>
      </c>
      <c r="M43" s="426">
        <v>0</v>
      </c>
      <c r="N43" s="426">
        <v>0</v>
      </c>
      <c r="O43" s="426">
        <v>0</v>
      </c>
      <c r="P43" s="426">
        <v>0</v>
      </c>
      <c r="Q43" s="426">
        <v>0</v>
      </c>
      <c r="R43" s="426">
        <v>0</v>
      </c>
      <c r="S43" s="426"/>
      <c r="T43" s="323">
        <f t="shared" si="0"/>
        <v>0</v>
      </c>
      <c r="U43" s="307"/>
    </row>
    <row r="44" spans="2:21" ht="21" customHeight="1">
      <c r="B44" s="307"/>
      <c r="E44" s="304" t="s">
        <v>205</v>
      </c>
      <c r="F44" s="315" t="s">
        <v>193</v>
      </c>
      <c r="G44" s="423">
        <v>0</v>
      </c>
      <c r="H44" s="424">
        <v>0</v>
      </c>
      <c r="I44" s="424">
        <v>0</v>
      </c>
      <c r="J44" s="444">
        <v>0</v>
      </c>
      <c r="K44" s="424">
        <v>0</v>
      </c>
      <c r="L44" s="424">
        <v>0</v>
      </c>
      <c r="M44" s="424">
        <v>0</v>
      </c>
      <c r="N44" s="424">
        <v>75780</v>
      </c>
      <c r="O44" s="424">
        <v>0</v>
      </c>
      <c r="P44" s="424">
        <v>0</v>
      </c>
      <c r="Q44" s="424">
        <v>41000</v>
      </c>
      <c r="R44" s="424">
        <v>82000</v>
      </c>
      <c r="S44" s="424">
        <v>0</v>
      </c>
      <c r="T44" s="318">
        <f t="shared" si="0"/>
        <v>198780</v>
      </c>
      <c r="U44" s="307"/>
    </row>
    <row r="45" spans="2:21" ht="21" customHeight="1">
      <c r="B45" s="307"/>
      <c r="E45" s="319"/>
      <c r="F45" s="320" t="s">
        <v>194</v>
      </c>
      <c r="G45" s="425">
        <v>0</v>
      </c>
      <c r="H45" s="426">
        <v>0</v>
      </c>
      <c r="I45" s="426">
        <v>0</v>
      </c>
      <c r="J45" s="445">
        <v>0</v>
      </c>
      <c r="K45" s="426">
        <v>0</v>
      </c>
      <c r="L45" s="426">
        <v>0</v>
      </c>
      <c r="M45" s="426">
        <v>0</v>
      </c>
      <c r="N45" s="426">
        <v>215881</v>
      </c>
      <c r="O45" s="426">
        <v>0</v>
      </c>
      <c r="P45" s="426">
        <v>0</v>
      </c>
      <c r="Q45" s="426">
        <v>41000</v>
      </c>
      <c r="R45" s="426">
        <v>78218</v>
      </c>
      <c r="S45" s="426">
        <v>0</v>
      </c>
      <c r="T45" s="323">
        <f t="shared" si="0"/>
        <v>335099</v>
      </c>
      <c r="U45" s="307"/>
    </row>
    <row r="46" spans="2:21" ht="21" customHeight="1">
      <c r="B46" s="307"/>
      <c r="E46" s="530" t="s">
        <v>524</v>
      </c>
      <c r="F46" s="315" t="s">
        <v>193</v>
      </c>
      <c r="G46" s="423">
        <v>0</v>
      </c>
      <c r="H46" s="424">
        <v>0</v>
      </c>
      <c r="I46" s="424">
        <v>0</v>
      </c>
      <c r="J46" s="444">
        <v>0</v>
      </c>
      <c r="K46" s="424">
        <v>0</v>
      </c>
      <c r="L46" s="424">
        <v>0</v>
      </c>
      <c r="M46" s="424">
        <v>0</v>
      </c>
      <c r="N46" s="424">
        <v>0</v>
      </c>
      <c r="O46" s="424">
        <v>0</v>
      </c>
      <c r="P46" s="424">
        <v>0</v>
      </c>
      <c r="Q46" s="424">
        <v>0</v>
      </c>
      <c r="R46" s="424">
        <v>0</v>
      </c>
      <c r="S46" s="424">
        <v>0</v>
      </c>
      <c r="T46" s="318">
        <f t="shared" si="0"/>
        <v>0</v>
      </c>
      <c r="U46" s="307"/>
    </row>
    <row r="47" spans="2:21" ht="21" customHeight="1">
      <c r="B47" s="307"/>
      <c r="E47" s="319"/>
      <c r="F47" s="320" t="s">
        <v>194</v>
      </c>
      <c r="G47" s="425">
        <v>0</v>
      </c>
      <c r="H47" s="426">
        <v>0</v>
      </c>
      <c r="I47" s="426">
        <v>0</v>
      </c>
      <c r="J47" s="445">
        <v>0</v>
      </c>
      <c r="K47" s="426">
        <v>0</v>
      </c>
      <c r="L47" s="426">
        <v>0</v>
      </c>
      <c r="M47" s="426">
        <v>0</v>
      </c>
      <c r="N47" s="426">
        <v>0</v>
      </c>
      <c r="O47" s="426">
        <v>0</v>
      </c>
      <c r="P47" s="426">
        <v>0</v>
      </c>
      <c r="Q47" s="426">
        <v>0</v>
      </c>
      <c r="R47" s="426">
        <v>0</v>
      </c>
      <c r="S47" s="426">
        <v>0</v>
      </c>
      <c r="T47" s="323">
        <f t="shared" si="0"/>
        <v>0</v>
      </c>
      <c r="U47" s="307"/>
    </row>
    <row r="48" spans="2:21" ht="21" customHeight="1">
      <c r="B48" s="307"/>
      <c r="E48" s="530" t="s">
        <v>525</v>
      </c>
      <c r="F48" s="315" t="s">
        <v>193</v>
      </c>
      <c r="G48" s="423">
        <v>0</v>
      </c>
      <c r="H48" s="424">
        <v>0</v>
      </c>
      <c r="I48" s="424">
        <v>0</v>
      </c>
      <c r="J48" s="444">
        <v>0</v>
      </c>
      <c r="K48" s="424">
        <v>0</v>
      </c>
      <c r="L48" s="424">
        <v>0</v>
      </c>
      <c r="M48" s="424">
        <v>0</v>
      </c>
      <c r="N48" s="424">
        <v>0</v>
      </c>
      <c r="O48" s="424">
        <v>0</v>
      </c>
      <c r="P48" s="424">
        <v>0</v>
      </c>
      <c r="Q48" s="424">
        <v>0</v>
      </c>
      <c r="R48" s="424">
        <v>0</v>
      </c>
      <c r="S48" s="424">
        <v>0</v>
      </c>
      <c r="T48" s="318">
        <f t="shared" si="0"/>
        <v>0</v>
      </c>
      <c r="U48" s="307"/>
    </row>
    <row r="49" spans="2:21" ht="21" customHeight="1">
      <c r="B49" s="307"/>
      <c r="E49" s="319"/>
      <c r="F49" s="320" t="s">
        <v>194</v>
      </c>
      <c r="G49" s="425">
        <v>0</v>
      </c>
      <c r="H49" s="426">
        <v>0</v>
      </c>
      <c r="I49" s="426">
        <v>0</v>
      </c>
      <c r="J49" s="445">
        <v>0</v>
      </c>
      <c r="K49" s="426">
        <v>0</v>
      </c>
      <c r="L49" s="426">
        <v>0</v>
      </c>
      <c r="M49" s="426">
        <v>0</v>
      </c>
      <c r="N49" s="426">
        <v>0</v>
      </c>
      <c r="O49" s="426">
        <v>0</v>
      </c>
      <c r="P49" s="426">
        <v>0</v>
      </c>
      <c r="Q49" s="426">
        <v>0</v>
      </c>
      <c r="R49" s="426">
        <v>0</v>
      </c>
      <c r="S49" s="426">
        <v>0</v>
      </c>
      <c r="T49" s="323">
        <f t="shared" si="0"/>
        <v>0</v>
      </c>
      <c r="U49" s="307"/>
    </row>
    <row r="50" spans="2:21" ht="21" customHeight="1">
      <c r="B50" s="307"/>
      <c r="E50" s="530" t="s">
        <v>526</v>
      </c>
      <c r="F50" s="315" t="s">
        <v>193</v>
      </c>
      <c r="G50" s="423">
        <v>0</v>
      </c>
      <c r="H50" s="424">
        <v>0</v>
      </c>
      <c r="I50" s="424">
        <v>0</v>
      </c>
      <c r="J50" s="444">
        <v>0</v>
      </c>
      <c r="K50" s="424">
        <v>0</v>
      </c>
      <c r="L50" s="424">
        <v>0</v>
      </c>
      <c r="M50" s="424">
        <v>0</v>
      </c>
      <c r="N50" s="424">
        <v>0</v>
      </c>
      <c r="O50" s="424">
        <v>0</v>
      </c>
      <c r="P50" s="424">
        <v>0</v>
      </c>
      <c r="Q50" s="424">
        <v>0</v>
      </c>
      <c r="R50" s="424">
        <v>0</v>
      </c>
      <c r="S50" s="424">
        <v>0</v>
      </c>
      <c r="T50" s="318">
        <f t="shared" si="0"/>
        <v>0</v>
      </c>
      <c r="U50" s="307"/>
    </row>
    <row r="51" spans="2:21" ht="21" customHeight="1">
      <c r="B51" s="307"/>
      <c r="E51" s="319"/>
      <c r="F51" s="320" t="s">
        <v>194</v>
      </c>
      <c r="G51" s="425">
        <v>0</v>
      </c>
      <c r="H51" s="426">
        <v>0</v>
      </c>
      <c r="I51" s="426">
        <v>0</v>
      </c>
      <c r="J51" s="445">
        <v>0</v>
      </c>
      <c r="K51" s="426">
        <v>0</v>
      </c>
      <c r="L51" s="426">
        <v>0</v>
      </c>
      <c r="M51" s="426">
        <v>0</v>
      </c>
      <c r="N51" s="426">
        <v>0</v>
      </c>
      <c r="O51" s="426">
        <v>0</v>
      </c>
      <c r="P51" s="426">
        <v>0</v>
      </c>
      <c r="Q51" s="426">
        <v>0</v>
      </c>
      <c r="R51" s="426">
        <v>0</v>
      </c>
      <c r="S51" s="426">
        <v>0</v>
      </c>
      <c r="T51" s="323">
        <f t="shared" si="0"/>
        <v>0</v>
      </c>
      <c r="U51" s="307"/>
    </row>
    <row r="52" spans="2:21" ht="21" customHeight="1">
      <c r="B52" s="307"/>
      <c r="E52" s="304" t="s">
        <v>206</v>
      </c>
      <c r="F52" s="315" t="s">
        <v>193</v>
      </c>
      <c r="G52" s="423">
        <v>0</v>
      </c>
      <c r="H52" s="424">
        <v>13200</v>
      </c>
      <c r="I52" s="424">
        <v>4204</v>
      </c>
      <c r="J52" s="444">
        <v>0</v>
      </c>
      <c r="K52" s="424">
        <v>48090</v>
      </c>
      <c r="L52" s="424">
        <v>0</v>
      </c>
      <c r="M52" s="424">
        <v>0</v>
      </c>
      <c r="N52" s="424">
        <v>0</v>
      </c>
      <c r="O52" s="424">
        <v>0</v>
      </c>
      <c r="P52" s="424">
        <v>0</v>
      </c>
      <c r="Q52" s="424">
        <v>10195</v>
      </c>
      <c r="R52" s="424">
        <v>5397</v>
      </c>
      <c r="S52" s="424">
        <v>0</v>
      </c>
      <c r="T52" s="318">
        <f t="shared" si="0"/>
        <v>81086</v>
      </c>
      <c r="U52" s="307"/>
    </row>
    <row r="53" spans="2:21" ht="21" customHeight="1" thickBot="1">
      <c r="B53" s="308"/>
      <c r="C53" s="305"/>
      <c r="D53" s="305"/>
      <c r="E53" s="305"/>
      <c r="F53" s="338" t="s">
        <v>194</v>
      </c>
      <c r="G53" s="339">
        <v>0</v>
      </c>
      <c r="H53" s="340">
        <v>13200</v>
      </c>
      <c r="I53" s="340">
        <v>4204</v>
      </c>
      <c r="J53" s="446">
        <v>0</v>
      </c>
      <c r="K53" s="340">
        <v>48090</v>
      </c>
      <c r="L53" s="340">
        <v>0</v>
      </c>
      <c r="M53" s="340">
        <v>0</v>
      </c>
      <c r="N53" s="340">
        <v>0</v>
      </c>
      <c r="O53" s="340">
        <v>0</v>
      </c>
      <c r="P53" s="340">
        <v>0</v>
      </c>
      <c r="Q53" s="340">
        <v>10195</v>
      </c>
      <c r="R53" s="340">
        <v>5397</v>
      </c>
      <c r="S53" s="340">
        <v>0</v>
      </c>
      <c r="T53" s="341">
        <f t="shared" si="0"/>
        <v>81086</v>
      </c>
      <c r="U53" s="307"/>
    </row>
    <row r="54" spans="18:20" ht="17.25">
      <c r="R54" s="413" t="s">
        <v>442</v>
      </c>
      <c r="S54" s="413" t="s">
        <v>444</v>
      </c>
      <c r="T54" s="414">
        <f>T11+T19+T38+'08繰入金(2)'!T19</f>
        <v>4466885</v>
      </c>
    </row>
    <row r="55" spans="19:20" ht="17.25">
      <c r="S55" s="413" t="s">
        <v>445</v>
      </c>
      <c r="T55" s="414">
        <f>T12+T20+T39+'08繰入金(2)'!T20</f>
        <v>5585282</v>
      </c>
    </row>
  </sheetData>
  <sheetProtection/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showGridLines="0" showZeros="0" view="pageBreakPreview" zoomScale="60" zoomScaleNormal="65" zoomScalePageLayoutView="0" workbookViewId="0" topLeftCell="A1">
      <pane xSplit="6" ySplit="8" topLeftCell="G9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S47" sqref="S47"/>
    </sheetView>
  </sheetViews>
  <sheetFormatPr defaultColWidth="8.66015625" defaultRowHeight="18"/>
  <cols>
    <col min="1" max="1" width="1.66015625" style="347" customWidth="1"/>
    <col min="2" max="4" width="2.66015625" style="347" customWidth="1"/>
    <col min="5" max="5" width="18.66015625" style="347" customWidth="1"/>
    <col min="6" max="6" width="10.66015625" style="347" customWidth="1"/>
    <col min="7" max="19" width="12" style="347" customWidth="1"/>
    <col min="20" max="20" width="13.16015625" style="347" customWidth="1"/>
    <col min="21" max="21" width="1.66015625" style="347" customWidth="1"/>
    <col min="22" max="22" width="2.66015625" style="347" customWidth="1"/>
    <col min="23" max="16384" width="8.66015625" style="347" customWidth="1"/>
  </cols>
  <sheetData>
    <row r="1" spans="1:21" ht="21" customHeight="1">
      <c r="A1" s="342"/>
      <c r="B1" s="348" t="s">
        <v>469</v>
      </c>
      <c r="C1" s="349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ht="21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21" customHeight="1" thickBot="1">
      <c r="A3" s="342"/>
      <c r="B3" s="350" t="s">
        <v>207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 t="s">
        <v>133</v>
      </c>
      <c r="U3" s="342"/>
    </row>
    <row r="4" spans="1:21" ht="21" customHeight="1">
      <c r="A4" s="342"/>
      <c r="B4" s="352"/>
      <c r="C4" s="353"/>
      <c r="D4" s="353"/>
      <c r="E4" s="353"/>
      <c r="F4" s="353"/>
      <c r="G4" s="288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299"/>
      <c r="U4" s="354"/>
    </row>
    <row r="5" spans="1:21" ht="21" customHeight="1">
      <c r="A5" s="342"/>
      <c r="B5" s="352"/>
      <c r="C5" s="353"/>
      <c r="D5" s="353"/>
      <c r="E5" s="353" t="s">
        <v>180</v>
      </c>
      <c r="F5" s="353"/>
      <c r="G5" s="290" t="s">
        <v>2</v>
      </c>
      <c r="H5" s="291" t="s">
        <v>3</v>
      </c>
      <c r="I5" s="291" t="s">
        <v>4</v>
      </c>
      <c r="J5" s="37" t="s">
        <v>5</v>
      </c>
      <c r="K5" s="291" t="s">
        <v>6</v>
      </c>
      <c r="L5" s="291" t="s">
        <v>7</v>
      </c>
      <c r="M5" s="291" t="s">
        <v>8</v>
      </c>
      <c r="N5" s="291" t="s">
        <v>222</v>
      </c>
      <c r="O5" s="291" t="s">
        <v>223</v>
      </c>
      <c r="P5" s="291" t="s">
        <v>224</v>
      </c>
      <c r="Q5" s="291" t="s">
        <v>9</v>
      </c>
      <c r="R5" s="291" t="s">
        <v>225</v>
      </c>
      <c r="S5" s="291" t="s">
        <v>10</v>
      </c>
      <c r="T5" s="299"/>
      <c r="U5" s="354"/>
    </row>
    <row r="6" spans="1:21" ht="21" customHeight="1">
      <c r="A6" s="342"/>
      <c r="B6" s="352"/>
      <c r="C6" s="353"/>
      <c r="D6" s="353"/>
      <c r="E6" s="353"/>
      <c r="F6" s="353"/>
      <c r="G6" s="288"/>
      <c r="H6" s="77"/>
      <c r="I6" s="77"/>
      <c r="J6" s="534" t="s">
        <v>458</v>
      </c>
      <c r="K6" s="77"/>
      <c r="L6" s="77"/>
      <c r="M6" s="77"/>
      <c r="N6" s="77"/>
      <c r="O6" s="77"/>
      <c r="P6" s="77"/>
      <c r="Q6" s="77"/>
      <c r="R6" s="77"/>
      <c r="S6" s="77"/>
      <c r="T6" s="300" t="s">
        <v>11</v>
      </c>
      <c r="U6" s="354"/>
    </row>
    <row r="7" spans="1:21" ht="21" customHeight="1">
      <c r="A7" s="342"/>
      <c r="B7" s="352"/>
      <c r="C7" s="353"/>
      <c r="D7" s="353" t="s">
        <v>57</v>
      </c>
      <c r="E7" s="353"/>
      <c r="F7" s="353"/>
      <c r="G7" s="288" t="s">
        <v>333</v>
      </c>
      <c r="H7" s="77" t="s">
        <v>333</v>
      </c>
      <c r="I7" s="77"/>
      <c r="J7" s="534"/>
      <c r="K7" s="77"/>
      <c r="L7" s="77"/>
      <c r="M7" s="77" t="s">
        <v>333</v>
      </c>
      <c r="N7" s="77" t="s">
        <v>334</v>
      </c>
      <c r="O7" s="77" t="s">
        <v>335</v>
      </c>
      <c r="P7" s="77" t="s">
        <v>13</v>
      </c>
      <c r="Q7" s="77" t="s">
        <v>13</v>
      </c>
      <c r="R7" s="77" t="s">
        <v>336</v>
      </c>
      <c r="S7" s="77"/>
      <c r="T7" s="301"/>
      <c r="U7" s="354"/>
    </row>
    <row r="8" spans="1:21" ht="21" customHeight="1" thickBot="1">
      <c r="A8" s="342"/>
      <c r="B8" s="355"/>
      <c r="C8" s="356"/>
      <c r="D8" s="356"/>
      <c r="E8" s="356"/>
      <c r="F8" s="357"/>
      <c r="G8" s="117" t="s">
        <v>337</v>
      </c>
      <c r="H8" s="81" t="s">
        <v>338</v>
      </c>
      <c r="I8" s="81" t="s">
        <v>14</v>
      </c>
      <c r="J8" s="432" t="s">
        <v>446</v>
      </c>
      <c r="K8" s="81" t="s">
        <v>297</v>
      </c>
      <c r="L8" s="81" t="s">
        <v>365</v>
      </c>
      <c r="M8" s="81" t="s">
        <v>16</v>
      </c>
      <c r="N8" s="81" t="s">
        <v>296</v>
      </c>
      <c r="O8" s="81" t="s">
        <v>315</v>
      </c>
      <c r="P8" s="81" t="s">
        <v>58</v>
      </c>
      <c r="Q8" s="81" t="s">
        <v>59</v>
      </c>
      <c r="R8" s="81" t="s">
        <v>228</v>
      </c>
      <c r="S8" s="81" t="s">
        <v>17</v>
      </c>
      <c r="T8" s="302"/>
      <c r="U8" s="354"/>
    </row>
    <row r="9" spans="2:21" s="304" customFormat="1" ht="21" customHeight="1">
      <c r="B9" s="358"/>
      <c r="C9" s="359"/>
      <c r="D9" s="359"/>
      <c r="E9" s="360" t="s">
        <v>219</v>
      </c>
      <c r="F9" s="361" t="s">
        <v>193</v>
      </c>
      <c r="G9" s="362">
        <v>0</v>
      </c>
      <c r="H9" s="363">
        <v>0</v>
      </c>
      <c r="I9" s="363">
        <v>0</v>
      </c>
      <c r="J9" s="447">
        <v>0</v>
      </c>
      <c r="K9" s="363">
        <v>101686</v>
      </c>
      <c r="L9" s="363">
        <v>0</v>
      </c>
      <c r="M9" s="363">
        <v>0</v>
      </c>
      <c r="N9" s="363">
        <v>0</v>
      </c>
      <c r="O9" s="363">
        <v>0</v>
      </c>
      <c r="P9" s="363">
        <v>0</v>
      </c>
      <c r="Q9" s="363">
        <v>0</v>
      </c>
      <c r="R9" s="363">
        <v>0</v>
      </c>
      <c r="S9" s="363">
        <v>0</v>
      </c>
      <c r="T9" s="364">
        <f>SUM(G9:S9)</f>
        <v>101686</v>
      </c>
      <c r="U9" s="307"/>
    </row>
    <row r="10" spans="2:21" s="304" customFormat="1" ht="21" customHeight="1">
      <c r="B10" s="307"/>
      <c r="C10" s="365"/>
      <c r="D10" s="365"/>
      <c r="E10" s="319"/>
      <c r="F10" s="320" t="s">
        <v>194</v>
      </c>
      <c r="G10" s="333">
        <v>0</v>
      </c>
      <c r="H10" s="323">
        <v>0</v>
      </c>
      <c r="I10" s="323">
        <v>0</v>
      </c>
      <c r="J10" s="443">
        <v>0</v>
      </c>
      <c r="K10" s="323">
        <v>101686</v>
      </c>
      <c r="L10" s="323">
        <v>0</v>
      </c>
      <c r="M10" s="323">
        <v>0</v>
      </c>
      <c r="N10" s="323">
        <v>0</v>
      </c>
      <c r="O10" s="323">
        <v>0</v>
      </c>
      <c r="P10" s="323">
        <v>0</v>
      </c>
      <c r="Q10" s="323">
        <v>0</v>
      </c>
      <c r="R10" s="323">
        <v>0</v>
      </c>
      <c r="S10" s="323">
        <v>0</v>
      </c>
      <c r="T10" s="366">
        <f aca="true" t="shared" si="0" ref="T10:T50">SUM(G10:S10)</f>
        <v>101686</v>
      </c>
      <c r="U10" s="307"/>
    </row>
    <row r="11" spans="1:21" ht="21" customHeight="1">
      <c r="A11" s="342"/>
      <c r="B11" s="367"/>
      <c r="C11" s="368"/>
      <c r="D11" s="369"/>
      <c r="E11" s="369" t="s">
        <v>208</v>
      </c>
      <c r="F11" s="370" t="s">
        <v>193</v>
      </c>
      <c r="G11" s="371">
        <v>0</v>
      </c>
      <c r="H11" s="372">
        <v>0</v>
      </c>
      <c r="I11" s="372">
        <v>0</v>
      </c>
      <c r="J11" s="448">
        <v>0</v>
      </c>
      <c r="K11" s="372">
        <v>0</v>
      </c>
      <c r="L11" s="372">
        <v>0</v>
      </c>
      <c r="M11" s="372">
        <v>0</v>
      </c>
      <c r="N11" s="372">
        <v>21300</v>
      </c>
      <c r="O11" s="372">
        <v>0</v>
      </c>
      <c r="P11" s="372">
        <v>0</v>
      </c>
      <c r="Q11" s="372">
        <v>0</v>
      </c>
      <c r="R11" s="372">
        <v>1241</v>
      </c>
      <c r="S11" s="372">
        <v>0</v>
      </c>
      <c r="T11" s="373">
        <f t="shared" si="0"/>
        <v>22541</v>
      </c>
      <c r="U11" s="346"/>
    </row>
    <row r="12" spans="1:21" ht="21" customHeight="1">
      <c r="A12" s="342"/>
      <c r="B12" s="367"/>
      <c r="C12" s="368"/>
      <c r="D12" s="369"/>
      <c r="E12" s="374"/>
      <c r="F12" s="375" t="s">
        <v>194</v>
      </c>
      <c r="G12" s="376">
        <v>0</v>
      </c>
      <c r="H12" s="377">
        <v>0</v>
      </c>
      <c r="I12" s="377">
        <v>0</v>
      </c>
      <c r="J12" s="449">
        <v>0</v>
      </c>
      <c r="K12" s="377">
        <v>0</v>
      </c>
      <c r="L12" s="377">
        <v>0</v>
      </c>
      <c r="M12" s="377">
        <v>0</v>
      </c>
      <c r="N12" s="377">
        <v>21300</v>
      </c>
      <c r="O12" s="377">
        <v>0</v>
      </c>
      <c r="P12" s="377">
        <v>0</v>
      </c>
      <c r="Q12" s="377">
        <v>0</v>
      </c>
      <c r="R12" s="377">
        <v>1241</v>
      </c>
      <c r="S12" s="377">
        <v>0</v>
      </c>
      <c r="T12" s="378">
        <f t="shared" si="0"/>
        <v>22541</v>
      </c>
      <c r="U12" s="346"/>
    </row>
    <row r="13" spans="1:21" ht="21" customHeight="1">
      <c r="A13" s="342"/>
      <c r="B13" s="367"/>
      <c r="C13" s="368"/>
      <c r="D13" s="369"/>
      <c r="E13" s="369" t="s">
        <v>209</v>
      </c>
      <c r="F13" s="370" t="s">
        <v>193</v>
      </c>
      <c r="G13" s="371">
        <v>0</v>
      </c>
      <c r="H13" s="372">
        <v>25314</v>
      </c>
      <c r="I13" s="372">
        <v>0</v>
      </c>
      <c r="J13" s="448">
        <v>0</v>
      </c>
      <c r="K13" s="372">
        <v>113880</v>
      </c>
      <c r="L13" s="372">
        <v>13762</v>
      </c>
      <c r="M13" s="372">
        <v>47470</v>
      </c>
      <c r="N13" s="372">
        <v>0</v>
      </c>
      <c r="O13" s="372">
        <v>22578</v>
      </c>
      <c r="P13" s="372">
        <v>0</v>
      </c>
      <c r="Q13" s="372">
        <v>3436</v>
      </c>
      <c r="R13" s="372">
        <v>4915</v>
      </c>
      <c r="S13" s="372">
        <v>0</v>
      </c>
      <c r="T13" s="373">
        <f t="shared" si="0"/>
        <v>231355</v>
      </c>
      <c r="U13" s="346"/>
    </row>
    <row r="14" spans="1:21" ht="21" customHeight="1">
      <c r="A14" s="342"/>
      <c r="B14" s="367"/>
      <c r="C14" s="368"/>
      <c r="D14" s="369"/>
      <c r="E14" s="374"/>
      <c r="F14" s="375" t="s">
        <v>194</v>
      </c>
      <c r="G14" s="376">
        <v>0</v>
      </c>
      <c r="H14" s="377">
        <v>25314</v>
      </c>
      <c r="I14" s="377">
        <v>0</v>
      </c>
      <c r="J14" s="449">
        <v>0</v>
      </c>
      <c r="K14" s="377">
        <v>53703</v>
      </c>
      <c r="L14" s="377">
        <v>13762</v>
      </c>
      <c r="M14" s="377">
        <v>47470</v>
      </c>
      <c r="N14" s="377">
        <v>0</v>
      </c>
      <c r="O14" s="377">
        <v>22578</v>
      </c>
      <c r="P14" s="377">
        <v>0</v>
      </c>
      <c r="Q14" s="377">
        <v>3436</v>
      </c>
      <c r="R14" s="377">
        <v>4915</v>
      </c>
      <c r="S14" s="377">
        <v>0</v>
      </c>
      <c r="T14" s="378">
        <f t="shared" si="0"/>
        <v>171178</v>
      </c>
      <c r="U14" s="346"/>
    </row>
    <row r="15" spans="1:21" ht="21" customHeight="1">
      <c r="A15" s="342"/>
      <c r="B15" s="367"/>
      <c r="C15" s="368"/>
      <c r="D15" s="369"/>
      <c r="E15" s="379" t="s">
        <v>221</v>
      </c>
      <c r="F15" s="370" t="s">
        <v>193</v>
      </c>
      <c r="G15" s="371">
        <v>0</v>
      </c>
      <c r="H15" s="372">
        <v>0</v>
      </c>
      <c r="I15" s="372">
        <v>0</v>
      </c>
      <c r="J15" s="448">
        <v>0</v>
      </c>
      <c r="K15" s="372">
        <v>7111</v>
      </c>
      <c r="L15" s="372">
        <v>13561</v>
      </c>
      <c r="M15" s="372">
        <v>0</v>
      </c>
      <c r="N15" s="372">
        <v>0</v>
      </c>
      <c r="O15" s="372">
        <v>0</v>
      </c>
      <c r="P15" s="372">
        <v>0</v>
      </c>
      <c r="Q15" s="372">
        <v>0</v>
      </c>
      <c r="R15" s="372">
        <v>0</v>
      </c>
      <c r="S15" s="372">
        <v>0</v>
      </c>
      <c r="T15" s="373">
        <f t="shared" si="0"/>
        <v>20672</v>
      </c>
      <c r="U15" s="346"/>
    </row>
    <row r="16" spans="1:21" ht="21" customHeight="1">
      <c r="A16" s="342"/>
      <c r="B16" s="367"/>
      <c r="C16" s="368"/>
      <c r="D16" s="369"/>
      <c r="E16" s="374"/>
      <c r="F16" s="375" t="s">
        <v>194</v>
      </c>
      <c r="G16" s="376">
        <v>0</v>
      </c>
      <c r="H16" s="377">
        <v>0</v>
      </c>
      <c r="I16" s="377">
        <v>0</v>
      </c>
      <c r="J16" s="449">
        <v>0</v>
      </c>
      <c r="K16" s="377">
        <v>7111</v>
      </c>
      <c r="L16" s="377">
        <v>13561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7">
        <v>0</v>
      </c>
      <c r="T16" s="378">
        <f t="shared" si="0"/>
        <v>20672</v>
      </c>
      <c r="U16" s="346"/>
    </row>
    <row r="17" spans="1:21" ht="21" customHeight="1">
      <c r="A17" s="342"/>
      <c r="B17" s="380"/>
      <c r="C17" s="374"/>
      <c r="D17" s="374"/>
      <c r="E17" s="374" t="s">
        <v>177</v>
      </c>
      <c r="F17" s="375" t="s">
        <v>194</v>
      </c>
      <c r="G17" s="376">
        <v>60000</v>
      </c>
      <c r="H17" s="377"/>
      <c r="I17" s="377">
        <v>2475</v>
      </c>
      <c r="J17" s="449">
        <v>0</v>
      </c>
      <c r="K17" s="377">
        <v>29908</v>
      </c>
      <c r="L17" s="377">
        <v>0</v>
      </c>
      <c r="M17" s="377">
        <v>0</v>
      </c>
      <c r="N17" s="377"/>
      <c r="O17" s="377">
        <v>695000</v>
      </c>
      <c r="P17" s="377">
        <v>0</v>
      </c>
      <c r="Q17" s="377">
        <v>0</v>
      </c>
      <c r="R17" s="377">
        <v>0</v>
      </c>
      <c r="S17" s="377">
        <v>0</v>
      </c>
      <c r="T17" s="378">
        <f t="shared" si="0"/>
        <v>787383</v>
      </c>
      <c r="U17" s="346"/>
    </row>
    <row r="18" spans="1:21" ht="21" customHeight="1">
      <c r="A18" s="342"/>
      <c r="B18" s="367"/>
      <c r="C18" s="381" t="s">
        <v>210</v>
      </c>
      <c r="D18" s="369"/>
      <c r="E18" s="369"/>
      <c r="F18" s="369"/>
      <c r="G18" s="382">
        <v>0</v>
      </c>
      <c r="H18" s="383">
        <v>0</v>
      </c>
      <c r="I18" s="383">
        <v>0</v>
      </c>
      <c r="J18" s="450">
        <v>0</v>
      </c>
      <c r="K18" s="383"/>
      <c r="L18" s="383">
        <v>0</v>
      </c>
      <c r="M18" s="383">
        <v>0</v>
      </c>
      <c r="N18" s="383">
        <v>0</v>
      </c>
      <c r="O18" s="383">
        <v>0</v>
      </c>
      <c r="P18" s="383">
        <v>0</v>
      </c>
      <c r="Q18" s="383">
        <v>0</v>
      </c>
      <c r="R18" s="383">
        <v>0</v>
      </c>
      <c r="S18" s="383"/>
      <c r="T18" s="384">
        <f t="shared" si="0"/>
        <v>0</v>
      </c>
      <c r="U18" s="346"/>
    </row>
    <row r="19" spans="1:21" ht="21" customHeight="1">
      <c r="A19" s="342"/>
      <c r="B19" s="367"/>
      <c r="C19" s="368"/>
      <c r="D19" s="369" t="s">
        <v>211</v>
      </c>
      <c r="E19" s="369"/>
      <c r="F19" s="370" t="s">
        <v>193</v>
      </c>
      <c r="G19" s="371">
        <v>0</v>
      </c>
      <c r="H19" s="373">
        <v>0</v>
      </c>
      <c r="I19" s="373">
        <v>0</v>
      </c>
      <c r="J19" s="451">
        <v>0</v>
      </c>
      <c r="K19" s="373">
        <v>97852</v>
      </c>
      <c r="L19" s="373">
        <v>0</v>
      </c>
      <c r="M19" s="373">
        <v>0</v>
      </c>
      <c r="N19" s="373">
        <v>0</v>
      </c>
      <c r="O19" s="373">
        <v>0</v>
      </c>
      <c r="P19" s="373">
        <v>0</v>
      </c>
      <c r="Q19" s="373">
        <v>0</v>
      </c>
      <c r="R19" s="373">
        <v>0</v>
      </c>
      <c r="S19" s="373">
        <v>0</v>
      </c>
      <c r="T19" s="373">
        <f t="shared" si="0"/>
        <v>97852</v>
      </c>
      <c r="U19" s="346"/>
    </row>
    <row r="20" spans="1:21" ht="21" customHeight="1">
      <c r="A20" s="342"/>
      <c r="B20" s="367"/>
      <c r="C20" s="368"/>
      <c r="D20" s="369"/>
      <c r="E20" s="374"/>
      <c r="F20" s="375" t="s">
        <v>194</v>
      </c>
      <c r="G20" s="376">
        <v>0</v>
      </c>
      <c r="H20" s="378">
        <v>0</v>
      </c>
      <c r="I20" s="378">
        <v>0</v>
      </c>
      <c r="J20" s="452">
        <v>0</v>
      </c>
      <c r="K20" s="378">
        <v>97852</v>
      </c>
      <c r="L20" s="378">
        <v>0</v>
      </c>
      <c r="M20" s="378">
        <v>0</v>
      </c>
      <c r="N20" s="378">
        <v>0</v>
      </c>
      <c r="O20" s="378">
        <v>0</v>
      </c>
      <c r="P20" s="378">
        <v>0</v>
      </c>
      <c r="Q20" s="378">
        <v>36866</v>
      </c>
      <c r="R20" s="378">
        <v>0</v>
      </c>
      <c r="S20" s="378">
        <v>0</v>
      </c>
      <c r="T20" s="378">
        <f t="shared" si="0"/>
        <v>134718</v>
      </c>
      <c r="U20" s="346"/>
    </row>
    <row r="21" spans="1:21" ht="21" customHeight="1">
      <c r="A21" s="342"/>
      <c r="B21" s="367"/>
      <c r="C21" s="368"/>
      <c r="D21" s="369"/>
      <c r="E21" s="379" t="s">
        <v>455</v>
      </c>
      <c r="F21" s="370" t="s">
        <v>193</v>
      </c>
      <c r="G21" s="371">
        <v>0</v>
      </c>
      <c r="H21" s="373">
        <v>0</v>
      </c>
      <c r="I21" s="373">
        <v>0</v>
      </c>
      <c r="J21" s="451">
        <v>0</v>
      </c>
      <c r="K21" s="373">
        <v>97852</v>
      </c>
      <c r="L21" s="373">
        <v>0</v>
      </c>
      <c r="M21" s="373">
        <v>0</v>
      </c>
      <c r="N21" s="373">
        <v>0</v>
      </c>
      <c r="O21" s="373">
        <v>0</v>
      </c>
      <c r="P21" s="373">
        <v>0</v>
      </c>
      <c r="Q21" s="373">
        <v>0</v>
      </c>
      <c r="R21" s="373">
        <v>0</v>
      </c>
      <c r="S21" s="373">
        <v>0</v>
      </c>
      <c r="T21" s="373">
        <f t="shared" si="0"/>
        <v>97852</v>
      </c>
      <c r="U21" s="346"/>
    </row>
    <row r="22" spans="1:21" ht="21" customHeight="1">
      <c r="A22" s="342"/>
      <c r="B22" s="367"/>
      <c r="C22" s="368"/>
      <c r="D22" s="369"/>
      <c r="E22" s="385" t="s">
        <v>457</v>
      </c>
      <c r="F22" s="375" t="s">
        <v>194</v>
      </c>
      <c r="G22" s="376">
        <v>0</v>
      </c>
      <c r="H22" s="378">
        <v>0</v>
      </c>
      <c r="I22" s="378">
        <v>0</v>
      </c>
      <c r="J22" s="452">
        <v>0</v>
      </c>
      <c r="K22" s="378">
        <v>97852</v>
      </c>
      <c r="L22" s="378">
        <v>0</v>
      </c>
      <c r="M22" s="378">
        <v>0</v>
      </c>
      <c r="N22" s="378">
        <v>0</v>
      </c>
      <c r="O22" s="378">
        <v>0</v>
      </c>
      <c r="P22" s="378">
        <v>0</v>
      </c>
      <c r="Q22" s="378">
        <v>0</v>
      </c>
      <c r="R22" s="378">
        <v>0</v>
      </c>
      <c r="S22" s="378">
        <v>0</v>
      </c>
      <c r="T22" s="378">
        <f t="shared" si="0"/>
        <v>97852</v>
      </c>
      <c r="U22" s="346"/>
    </row>
    <row r="23" spans="1:21" ht="21" customHeight="1">
      <c r="A23" s="342"/>
      <c r="B23" s="380"/>
      <c r="C23" s="374"/>
      <c r="D23" s="374"/>
      <c r="E23" s="374" t="s">
        <v>177</v>
      </c>
      <c r="F23" s="375" t="s">
        <v>194</v>
      </c>
      <c r="G23" s="376">
        <v>0</v>
      </c>
      <c r="H23" s="378">
        <v>0</v>
      </c>
      <c r="I23" s="378">
        <v>0</v>
      </c>
      <c r="J23" s="452">
        <v>0</v>
      </c>
      <c r="K23" s="378">
        <v>0</v>
      </c>
      <c r="L23" s="378">
        <v>0</v>
      </c>
      <c r="M23" s="378">
        <v>0</v>
      </c>
      <c r="N23" s="378">
        <v>0</v>
      </c>
      <c r="O23" s="378">
        <v>0</v>
      </c>
      <c r="P23" s="378">
        <v>0</v>
      </c>
      <c r="Q23" s="378">
        <v>36866</v>
      </c>
      <c r="R23" s="378">
        <v>0</v>
      </c>
      <c r="S23" s="378">
        <v>0</v>
      </c>
      <c r="T23" s="378">
        <f t="shared" si="0"/>
        <v>36866</v>
      </c>
      <c r="U23" s="346"/>
    </row>
    <row r="24" spans="1:21" ht="21" customHeight="1">
      <c r="A24" s="342"/>
      <c r="B24" s="367" t="s">
        <v>212</v>
      </c>
      <c r="C24" s="368"/>
      <c r="D24" s="369"/>
      <c r="E24" s="369"/>
      <c r="F24" s="369"/>
      <c r="G24" s="382"/>
      <c r="H24" s="383"/>
      <c r="I24" s="383"/>
      <c r="J24" s="450" t="s">
        <v>460</v>
      </c>
      <c r="K24" s="383"/>
      <c r="L24" s="383"/>
      <c r="M24" s="383"/>
      <c r="N24" s="383"/>
      <c r="O24" s="383"/>
      <c r="P24" s="383"/>
      <c r="Q24" s="383"/>
      <c r="R24" s="383"/>
      <c r="S24" s="383"/>
      <c r="T24" s="384">
        <f t="shared" si="0"/>
        <v>0</v>
      </c>
      <c r="U24" s="346"/>
    </row>
    <row r="25" spans="1:21" ht="21" customHeight="1">
      <c r="A25" s="342"/>
      <c r="B25" s="367"/>
      <c r="C25" s="368"/>
      <c r="D25" s="369" t="s">
        <v>213</v>
      </c>
      <c r="E25" s="369"/>
      <c r="F25" s="370" t="s">
        <v>193</v>
      </c>
      <c r="G25" s="371"/>
      <c r="H25" s="373">
        <v>40600</v>
      </c>
      <c r="I25" s="373">
        <v>414828</v>
      </c>
      <c r="J25" s="451">
        <v>0</v>
      </c>
      <c r="K25" s="373">
        <v>351522</v>
      </c>
      <c r="L25" s="373">
        <v>0</v>
      </c>
      <c r="M25" s="373">
        <v>43792</v>
      </c>
      <c r="N25" s="373">
        <v>0</v>
      </c>
      <c r="O25" s="373">
        <v>0</v>
      </c>
      <c r="P25" s="373">
        <v>0</v>
      </c>
      <c r="Q25" s="373">
        <v>0</v>
      </c>
      <c r="R25" s="373">
        <v>0</v>
      </c>
      <c r="S25" s="373">
        <v>0</v>
      </c>
      <c r="T25" s="373">
        <f t="shared" si="0"/>
        <v>850742</v>
      </c>
      <c r="U25" s="346"/>
    </row>
    <row r="26" spans="1:21" ht="21" customHeight="1">
      <c r="A26" s="342"/>
      <c r="B26" s="367"/>
      <c r="C26" s="368"/>
      <c r="D26" s="369"/>
      <c r="E26" s="374"/>
      <c r="F26" s="375" t="s">
        <v>194</v>
      </c>
      <c r="G26" s="376"/>
      <c r="H26" s="378">
        <v>40600</v>
      </c>
      <c r="I26" s="378">
        <v>414828</v>
      </c>
      <c r="J26" s="452">
        <v>0</v>
      </c>
      <c r="K26" s="378">
        <v>351522</v>
      </c>
      <c r="L26" s="378">
        <v>0</v>
      </c>
      <c r="M26" s="378">
        <v>37148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f t="shared" si="0"/>
        <v>844098</v>
      </c>
      <c r="U26" s="346"/>
    </row>
    <row r="27" spans="1:21" ht="21" customHeight="1">
      <c r="A27" s="342"/>
      <c r="B27" s="367"/>
      <c r="C27" s="368"/>
      <c r="D27" s="369"/>
      <c r="E27" s="369" t="s">
        <v>203</v>
      </c>
      <c r="F27" s="370" t="s">
        <v>193</v>
      </c>
      <c r="G27" s="371"/>
      <c r="H27" s="373">
        <v>0</v>
      </c>
      <c r="I27" s="373">
        <v>414828</v>
      </c>
      <c r="J27" s="451">
        <v>0</v>
      </c>
      <c r="K27" s="373">
        <v>351522</v>
      </c>
      <c r="L27" s="373">
        <v>0</v>
      </c>
      <c r="M27" s="373">
        <v>37148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f t="shared" si="0"/>
        <v>803498</v>
      </c>
      <c r="U27" s="346"/>
    </row>
    <row r="28" spans="1:21" ht="21" customHeight="1">
      <c r="A28" s="342"/>
      <c r="B28" s="367"/>
      <c r="C28" s="368"/>
      <c r="D28" s="369"/>
      <c r="E28" s="385" t="s">
        <v>438</v>
      </c>
      <c r="F28" s="375" t="s">
        <v>194</v>
      </c>
      <c r="G28" s="376"/>
      <c r="H28" s="378">
        <v>0</v>
      </c>
      <c r="I28" s="378">
        <v>414828</v>
      </c>
      <c r="J28" s="452">
        <v>0</v>
      </c>
      <c r="K28" s="378">
        <v>351522</v>
      </c>
      <c r="L28" s="378">
        <v>0</v>
      </c>
      <c r="M28" s="378">
        <v>37148</v>
      </c>
      <c r="N28" s="378">
        <v>0</v>
      </c>
      <c r="O28" s="378">
        <v>0</v>
      </c>
      <c r="P28" s="378">
        <v>0</v>
      </c>
      <c r="Q28" s="378">
        <v>0</v>
      </c>
      <c r="R28" s="378">
        <v>0</v>
      </c>
      <c r="S28" s="378">
        <v>0</v>
      </c>
      <c r="T28" s="378">
        <f t="shared" si="0"/>
        <v>803498</v>
      </c>
      <c r="U28" s="346"/>
    </row>
    <row r="29" spans="1:21" ht="21" customHeight="1">
      <c r="A29" s="342"/>
      <c r="B29" s="367"/>
      <c r="C29" s="368"/>
      <c r="D29" s="369"/>
      <c r="E29" s="369" t="s">
        <v>203</v>
      </c>
      <c r="F29" s="370" t="s">
        <v>193</v>
      </c>
      <c r="G29" s="371"/>
      <c r="H29" s="373">
        <v>40600</v>
      </c>
      <c r="I29" s="373">
        <v>0</v>
      </c>
      <c r="J29" s="451">
        <v>0</v>
      </c>
      <c r="K29" s="373">
        <v>0</v>
      </c>
      <c r="L29" s="373">
        <v>0</v>
      </c>
      <c r="M29" s="373">
        <v>6644</v>
      </c>
      <c r="N29" s="373">
        <v>0</v>
      </c>
      <c r="O29" s="373">
        <v>0</v>
      </c>
      <c r="P29" s="373">
        <v>0</v>
      </c>
      <c r="Q29" s="373">
        <v>0</v>
      </c>
      <c r="R29" s="373">
        <v>0</v>
      </c>
      <c r="S29" s="373">
        <v>0</v>
      </c>
      <c r="T29" s="373">
        <f t="shared" si="0"/>
        <v>47244</v>
      </c>
      <c r="U29" s="346"/>
    </row>
    <row r="30" spans="1:21" ht="21" customHeight="1">
      <c r="A30" s="342"/>
      <c r="B30" s="367"/>
      <c r="C30" s="368"/>
      <c r="D30" s="369"/>
      <c r="E30" s="386" t="s">
        <v>214</v>
      </c>
      <c r="F30" s="375" t="s">
        <v>194</v>
      </c>
      <c r="G30" s="376"/>
      <c r="H30" s="378">
        <v>40600</v>
      </c>
      <c r="I30" s="378">
        <v>0</v>
      </c>
      <c r="J30" s="452">
        <v>0</v>
      </c>
      <c r="K30" s="378">
        <v>0</v>
      </c>
      <c r="L30" s="378">
        <v>0</v>
      </c>
      <c r="M30" s="378">
        <v>0</v>
      </c>
      <c r="N30" s="378">
        <v>0</v>
      </c>
      <c r="O30" s="378">
        <v>0</v>
      </c>
      <c r="P30" s="378">
        <v>0</v>
      </c>
      <c r="Q30" s="378">
        <v>0</v>
      </c>
      <c r="R30" s="378">
        <v>0</v>
      </c>
      <c r="S30" s="378">
        <v>0</v>
      </c>
      <c r="T30" s="378">
        <f t="shared" si="0"/>
        <v>40600</v>
      </c>
      <c r="U30" s="346"/>
    </row>
    <row r="31" spans="1:21" ht="21" customHeight="1">
      <c r="A31" s="342"/>
      <c r="B31" s="367"/>
      <c r="C31" s="368"/>
      <c r="D31" s="369"/>
      <c r="E31" s="387" t="s">
        <v>455</v>
      </c>
      <c r="F31" s="370" t="s">
        <v>193</v>
      </c>
      <c r="G31" s="371">
        <v>0</v>
      </c>
      <c r="H31" s="373">
        <v>0</v>
      </c>
      <c r="I31" s="373">
        <v>0</v>
      </c>
      <c r="J31" s="451">
        <v>0</v>
      </c>
      <c r="K31" s="373">
        <v>0</v>
      </c>
      <c r="L31" s="373">
        <v>0</v>
      </c>
      <c r="M31" s="373">
        <v>0</v>
      </c>
      <c r="N31" s="373">
        <v>0</v>
      </c>
      <c r="O31" s="373">
        <v>0</v>
      </c>
      <c r="P31" s="373">
        <v>0</v>
      </c>
      <c r="Q31" s="373">
        <v>0</v>
      </c>
      <c r="R31" s="373">
        <v>0</v>
      </c>
      <c r="S31" s="373">
        <v>0</v>
      </c>
      <c r="T31" s="373">
        <f t="shared" si="0"/>
        <v>0</v>
      </c>
      <c r="U31" s="346"/>
    </row>
    <row r="32" spans="1:21" ht="21" customHeight="1">
      <c r="A32" s="342"/>
      <c r="B32" s="367"/>
      <c r="C32" s="368"/>
      <c r="D32" s="369"/>
      <c r="E32" s="385" t="s">
        <v>457</v>
      </c>
      <c r="F32" s="375" t="s">
        <v>194</v>
      </c>
      <c r="G32" s="376">
        <v>0</v>
      </c>
      <c r="H32" s="378">
        <v>0</v>
      </c>
      <c r="I32" s="378">
        <v>0</v>
      </c>
      <c r="J32" s="452">
        <v>0</v>
      </c>
      <c r="K32" s="378">
        <v>0</v>
      </c>
      <c r="L32" s="378">
        <v>0</v>
      </c>
      <c r="M32" s="378">
        <v>0</v>
      </c>
      <c r="N32" s="378">
        <v>0</v>
      </c>
      <c r="O32" s="378">
        <v>0</v>
      </c>
      <c r="P32" s="378">
        <v>0</v>
      </c>
      <c r="Q32" s="378">
        <v>0</v>
      </c>
      <c r="R32" s="378">
        <v>0</v>
      </c>
      <c r="S32" s="378">
        <v>0</v>
      </c>
      <c r="T32" s="378">
        <f t="shared" si="0"/>
        <v>0</v>
      </c>
      <c r="U32" s="346"/>
    </row>
    <row r="33" spans="1:21" ht="21" customHeight="1">
      <c r="A33" s="342"/>
      <c r="B33" s="367"/>
      <c r="C33" s="368"/>
      <c r="D33" s="374"/>
      <c r="E33" s="374" t="s">
        <v>177</v>
      </c>
      <c r="F33" s="375" t="s">
        <v>194</v>
      </c>
      <c r="G33" s="376">
        <v>0</v>
      </c>
      <c r="H33" s="378">
        <v>0</v>
      </c>
      <c r="I33" s="378">
        <v>0</v>
      </c>
      <c r="J33" s="452">
        <v>0</v>
      </c>
      <c r="K33" s="378">
        <v>0</v>
      </c>
      <c r="L33" s="378">
        <v>0</v>
      </c>
      <c r="M33" s="378">
        <v>0</v>
      </c>
      <c r="N33" s="378">
        <v>0</v>
      </c>
      <c r="O33" s="378">
        <v>0</v>
      </c>
      <c r="P33" s="378">
        <v>0</v>
      </c>
      <c r="Q33" s="378">
        <v>0</v>
      </c>
      <c r="R33" s="378">
        <v>0</v>
      </c>
      <c r="S33" s="378">
        <v>0</v>
      </c>
      <c r="T33" s="378">
        <f t="shared" si="0"/>
        <v>0</v>
      </c>
      <c r="U33" s="346"/>
    </row>
    <row r="34" spans="1:21" ht="21" customHeight="1">
      <c r="A34" s="342"/>
      <c r="B34" s="367"/>
      <c r="C34" s="368"/>
      <c r="D34" s="369" t="s">
        <v>192</v>
      </c>
      <c r="E34" s="369"/>
      <c r="F34" s="370" t="s">
        <v>193</v>
      </c>
      <c r="G34" s="371">
        <v>298691</v>
      </c>
      <c r="H34" s="373">
        <v>14290</v>
      </c>
      <c r="I34" s="373">
        <v>12500</v>
      </c>
      <c r="J34" s="451">
        <v>0</v>
      </c>
      <c r="K34" s="373">
        <v>35986</v>
      </c>
      <c r="L34" s="373">
        <v>211613</v>
      </c>
      <c r="M34" s="373">
        <v>0</v>
      </c>
      <c r="N34" s="373">
        <v>43774</v>
      </c>
      <c r="O34" s="373">
        <v>131977</v>
      </c>
      <c r="P34" s="373">
        <v>8994</v>
      </c>
      <c r="Q34" s="373">
        <v>21003</v>
      </c>
      <c r="R34" s="373">
        <v>16672</v>
      </c>
      <c r="S34" s="373">
        <v>149660</v>
      </c>
      <c r="T34" s="373">
        <f t="shared" si="0"/>
        <v>945160</v>
      </c>
      <c r="U34" s="346"/>
    </row>
    <row r="35" spans="1:21" ht="21" customHeight="1">
      <c r="A35" s="342"/>
      <c r="B35" s="367"/>
      <c r="C35" s="368"/>
      <c r="D35" s="369"/>
      <c r="E35" s="374"/>
      <c r="F35" s="375" t="s">
        <v>194</v>
      </c>
      <c r="G35" s="376">
        <v>298691</v>
      </c>
      <c r="H35" s="378">
        <v>74890</v>
      </c>
      <c r="I35" s="378">
        <v>12500</v>
      </c>
      <c r="J35" s="452">
        <v>0</v>
      </c>
      <c r="K35" s="378">
        <v>45469</v>
      </c>
      <c r="L35" s="378">
        <v>212113</v>
      </c>
      <c r="M35" s="378">
        <v>0</v>
      </c>
      <c r="N35" s="378">
        <v>74542</v>
      </c>
      <c r="O35" s="378">
        <v>131977</v>
      </c>
      <c r="P35" s="378">
        <v>16533</v>
      </c>
      <c r="Q35" s="378">
        <v>21266</v>
      </c>
      <c r="R35" s="378">
        <v>16672</v>
      </c>
      <c r="S35" s="378">
        <v>120091</v>
      </c>
      <c r="T35" s="378">
        <f t="shared" si="0"/>
        <v>1024744</v>
      </c>
      <c r="U35" s="346"/>
    </row>
    <row r="36" spans="1:21" ht="21" customHeight="1">
      <c r="A36" s="342"/>
      <c r="B36" s="367"/>
      <c r="C36" s="368"/>
      <c r="D36" s="369"/>
      <c r="E36" s="369" t="s">
        <v>203</v>
      </c>
      <c r="F36" s="370" t="s">
        <v>193</v>
      </c>
      <c r="G36" s="371">
        <v>298691</v>
      </c>
      <c r="H36" s="373">
        <v>14290</v>
      </c>
      <c r="I36" s="373">
        <v>0</v>
      </c>
      <c r="J36" s="451">
        <v>0</v>
      </c>
      <c r="K36" s="373">
        <v>35100</v>
      </c>
      <c r="L36" s="373">
        <v>211613</v>
      </c>
      <c r="M36" s="373">
        <v>0</v>
      </c>
      <c r="N36" s="373">
        <v>43735</v>
      </c>
      <c r="O36" s="373">
        <v>123342</v>
      </c>
      <c r="P36" s="373">
        <v>8994</v>
      </c>
      <c r="Q36" s="373">
        <v>17756</v>
      </c>
      <c r="R36" s="373">
        <v>16672</v>
      </c>
      <c r="S36" s="373">
        <v>120091</v>
      </c>
      <c r="T36" s="373">
        <f t="shared" si="0"/>
        <v>890284</v>
      </c>
      <c r="U36" s="346"/>
    </row>
    <row r="37" spans="1:21" ht="21" customHeight="1">
      <c r="A37" s="342"/>
      <c r="B37" s="367"/>
      <c r="C37" s="368"/>
      <c r="D37" s="369"/>
      <c r="E37" s="385" t="s">
        <v>438</v>
      </c>
      <c r="F37" s="375" t="s">
        <v>194</v>
      </c>
      <c r="G37" s="376">
        <v>298691</v>
      </c>
      <c r="H37" s="378">
        <v>14290</v>
      </c>
      <c r="I37" s="378">
        <v>0</v>
      </c>
      <c r="J37" s="452">
        <v>0</v>
      </c>
      <c r="K37" s="378">
        <v>44583</v>
      </c>
      <c r="L37" s="378">
        <v>211613</v>
      </c>
      <c r="M37" s="378">
        <v>0</v>
      </c>
      <c r="N37" s="378">
        <v>74463</v>
      </c>
      <c r="O37" s="378">
        <v>123342</v>
      </c>
      <c r="P37" s="378">
        <v>16533</v>
      </c>
      <c r="Q37" s="378">
        <v>17756</v>
      </c>
      <c r="R37" s="378">
        <v>16672</v>
      </c>
      <c r="S37" s="378">
        <v>120091</v>
      </c>
      <c r="T37" s="378">
        <f t="shared" si="0"/>
        <v>938034</v>
      </c>
      <c r="U37" s="346"/>
    </row>
    <row r="38" spans="1:21" ht="21" customHeight="1">
      <c r="A38" s="342"/>
      <c r="B38" s="367"/>
      <c r="C38" s="368"/>
      <c r="D38" s="369"/>
      <c r="E38" s="369" t="s">
        <v>203</v>
      </c>
      <c r="F38" s="370" t="s">
        <v>193</v>
      </c>
      <c r="G38" s="371">
        <v>0</v>
      </c>
      <c r="H38" s="373">
        <v>0</v>
      </c>
      <c r="I38" s="373">
        <v>12500</v>
      </c>
      <c r="J38" s="451">
        <v>0</v>
      </c>
      <c r="K38" s="373">
        <v>886</v>
      </c>
      <c r="L38" s="373">
        <v>0</v>
      </c>
      <c r="M38" s="373">
        <v>0</v>
      </c>
      <c r="N38" s="373">
        <v>39</v>
      </c>
      <c r="O38" s="373">
        <v>8635</v>
      </c>
      <c r="P38" s="373">
        <v>0</v>
      </c>
      <c r="Q38" s="373">
        <v>3247</v>
      </c>
      <c r="R38" s="373">
        <v>0</v>
      </c>
      <c r="S38" s="373">
        <v>29569</v>
      </c>
      <c r="T38" s="373">
        <f t="shared" si="0"/>
        <v>54876</v>
      </c>
      <c r="U38" s="346"/>
    </row>
    <row r="39" spans="1:21" ht="21" customHeight="1">
      <c r="A39" s="342"/>
      <c r="B39" s="367"/>
      <c r="C39" s="368"/>
      <c r="D39" s="369"/>
      <c r="E39" s="386" t="s">
        <v>214</v>
      </c>
      <c r="F39" s="375" t="s">
        <v>194</v>
      </c>
      <c r="G39" s="376">
        <v>0</v>
      </c>
      <c r="H39" s="378">
        <v>0</v>
      </c>
      <c r="I39" s="378">
        <v>12500</v>
      </c>
      <c r="J39" s="452">
        <v>0</v>
      </c>
      <c r="K39" s="378">
        <v>886</v>
      </c>
      <c r="L39" s="378">
        <v>0</v>
      </c>
      <c r="M39" s="378">
        <v>0</v>
      </c>
      <c r="N39" s="378">
        <v>79</v>
      </c>
      <c r="O39" s="378">
        <v>8635</v>
      </c>
      <c r="P39" s="378">
        <v>0</v>
      </c>
      <c r="Q39" s="378">
        <v>3510</v>
      </c>
      <c r="R39" s="378">
        <v>0</v>
      </c>
      <c r="S39" s="378">
        <v>0</v>
      </c>
      <c r="T39" s="378">
        <f t="shared" si="0"/>
        <v>25610</v>
      </c>
      <c r="U39" s="346"/>
    </row>
    <row r="40" spans="1:21" ht="21" customHeight="1">
      <c r="A40" s="342"/>
      <c r="B40" s="367"/>
      <c r="C40" s="368"/>
      <c r="D40" s="374"/>
      <c r="E40" s="374" t="s">
        <v>177</v>
      </c>
      <c r="F40" s="375" t="s">
        <v>194</v>
      </c>
      <c r="G40" s="376">
        <v>0</v>
      </c>
      <c r="H40" s="378">
        <v>60600</v>
      </c>
      <c r="I40" s="378">
        <v>0</v>
      </c>
      <c r="J40" s="452">
        <v>0</v>
      </c>
      <c r="K40" s="378">
        <v>0</v>
      </c>
      <c r="L40" s="378">
        <v>500</v>
      </c>
      <c r="M40" s="378">
        <v>0</v>
      </c>
      <c r="N40" s="378">
        <v>0</v>
      </c>
      <c r="O40" s="378"/>
      <c r="P40" s="378">
        <v>0</v>
      </c>
      <c r="Q40" s="378">
        <v>0</v>
      </c>
      <c r="R40" s="378">
        <v>0</v>
      </c>
      <c r="S40" s="378">
        <v>0</v>
      </c>
      <c r="T40" s="378">
        <f t="shared" si="0"/>
        <v>61100</v>
      </c>
      <c r="U40" s="346"/>
    </row>
    <row r="41" spans="1:21" ht="21" customHeight="1">
      <c r="A41" s="342"/>
      <c r="B41" s="367"/>
      <c r="C41" s="368"/>
      <c r="D41" s="369" t="s">
        <v>198</v>
      </c>
      <c r="E41" s="369"/>
      <c r="F41" s="370" t="s">
        <v>193</v>
      </c>
      <c r="G41" s="371">
        <v>0</v>
      </c>
      <c r="H41" s="373">
        <v>0</v>
      </c>
      <c r="I41" s="373">
        <v>0</v>
      </c>
      <c r="J41" s="451">
        <v>0</v>
      </c>
      <c r="K41" s="373">
        <v>0</v>
      </c>
      <c r="L41" s="373">
        <v>0</v>
      </c>
      <c r="M41" s="373">
        <v>0</v>
      </c>
      <c r="N41" s="373">
        <v>0</v>
      </c>
      <c r="O41" s="373">
        <v>0</v>
      </c>
      <c r="P41" s="373">
        <v>0</v>
      </c>
      <c r="Q41" s="373">
        <v>0</v>
      </c>
      <c r="R41" s="373">
        <v>0</v>
      </c>
      <c r="S41" s="373">
        <v>0</v>
      </c>
      <c r="T41" s="373">
        <f t="shared" si="0"/>
        <v>0</v>
      </c>
      <c r="U41" s="346"/>
    </row>
    <row r="42" spans="1:21" ht="21" customHeight="1">
      <c r="A42" s="342"/>
      <c r="B42" s="367"/>
      <c r="C42" s="368"/>
      <c r="D42" s="369"/>
      <c r="E42" s="374"/>
      <c r="F42" s="375" t="s">
        <v>194</v>
      </c>
      <c r="G42" s="376">
        <v>0</v>
      </c>
      <c r="H42" s="378"/>
      <c r="I42" s="378">
        <v>0</v>
      </c>
      <c r="J42" s="452">
        <v>0</v>
      </c>
      <c r="K42" s="378">
        <v>100000</v>
      </c>
      <c r="L42" s="378">
        <v>0</v>
      </c>
      <c r="M42" s="378">
        <v>0</v>
      </c>
      <c r="N42" s="378">
        <v>0</v>
      </c>
      <c r="O42" s="378">
        <v>0</v>
      </c>
      <c r="P42" s="378">
        <v>0</v>
      </c>
      <c r="Q42" s="378">
        <v>0</v>
      </c>
      <c r="R42" s="378">
        <v>0</v>
      </c>
      <c r="S42" s="378">
        <v>0</v>
      </c>
      <c r="T42" s="378">
        <f t="shared" si="0"/>
        <v>100000</v>
      </c>
      <c r="U42" s="346"/>
    </row>
    <row r="43" spans="1:21" ht="21" customHeight="1">
      <c r="A43" s="342"/>
      <c r="B43" s="367"/>
      <c r="C43" s="368"/>
      <c r="D43" s="369"/>
      <c r="E43" s="369" t="s">
        <v>202</v>
      </c>
      <c r="F43" s="370" t="s">
        <v>193</v>
      </c>
      <c r="G43" s="371">
        <v>0</v>
      </c>
      <c r="H43" s="373">
        <v>0</v>
      </c>
      <c r="I43" s="373">
        <v>0</v>
      </c>
      <c r="J43" s="451">
        <v>0</v>
      </c>
      <c r="K43" s="373">
        <v>0</v>
      </c>
      <c r="L43" s="373">
        <v>0</v>
      </c>
      <c r="M43" s="373">
        <v>0</v>
      </c>
      <c r="N43" s="373">
        <v>0</v>
      </c>
      <c r="O43" s="373">
        <v>0</v>
      </c>
      <c r="P43" s="373">
        <v>0</v>
      </c>
      <c r="Q43" s="373">
        <v>0</v>
      </c>
      <c r="R43" s="373">
        <v>0</v>
      </c>
      <c r="S43" s="373">
        <v>0</v>
      </c>
      <c r="T43" s="373">
        <f t="shared" si="0"/>
        <v>0</v>
      </c>
      <c r="U43" s="346"/>
    </row>
    <row r="44" spans="1:21" ht="21" customHeight="1">
      <c r="A44" s="342"/>
      <c r="B44" s="367"/>
      <c r="C44" s="368"/>
      <c r="D44" s="369"/>
      <c r="E44" s="374"/>
      <c r="F44" s="375" t="s">
        <v>194</v>
      </c>
      <c r="G44" s="376">
        <v>0</v>
      </c>
      <c r="H44" s="378">
        <v>0</v>
      </c>
      <c r="I44" s="378">
        <v>0</v>
      </c>
      <c r="J44" s="452">
        <v>0</v>
      </c>
      <c r="K44" s="378">
        <v>0</v>
      </c>
      <c r="L44" s="378">
        <v>0</v>
      </c>
      <c r="M44" s="378">
        <v>0</v>
      </c>
      <c r="N44" s="378">
        <v>0</v>
      </c>
      <c r="O44" s="378">
        <v>0</v>
      </c>
      <c r="P44" s="378">
        <v>0</v>
      </c>
      <c r="Q44" s="378">
        <v>0</v>
      </c>
      <c r="R44" s="378">
        <v>0</v>
      </c>
      <c r="S44" s="378">
        <v>0</v>
      </c>
      <c r="T44" s="378">
        <f t="shared" si="0"/>
        <v>0</v>
      </c>
      <c r="U44" s="346"/>
    </row>
    <row r="45" spans="1:21" ht="21" customHeight="1">
      <c r="A45" s="342"/>
      <c r="B45" s="380"/>
      <c r="C45" s="374"/>
      <c r="D45" s="374"/>
      <c r="E45" s="374" t="s">
        <v>177</v>
      </c>
      <c r="F45" s="375" t="s">
        <v>194</v>
      </c>
      <c r="G45" s="376">
        <v>0</v>
      </c>
      <c r="H45" s="378"/>
      <c r="I45" s="378">
        <v>0</v>
      </c>
      <c r="J45" s="452">
        <v>0</v>
      </c>
      <c r="K45" s="378">
        <v>100000</v>
      </c>
      <c r="L45" s="378">
        <v>0</v>
      </c>
      <c r="M45" s="378">
        <v>0</v>
      </c>
      <c r="N45" s="378">
        <v>0</v>
      </c>
      <c r="O45" s="378">
        <v>0</v>
      </c>
      <c r="P45" s="378">
        <v>0</v>
      </c>
      <c r="Q45" s="378">
        <v>0</v>
      </c>
      <c r="R45" s="378">
        <v>0</v>
      </c>
      <c r="S45" s="378">
        <v>0</v>
      </c>
      <c r="T45" s="378">
        <f t="shared" si="0"/>
        <v>100000</v>
      </c>
      <c r="U45" s="346"/>
    </row>
    <row r="46" spans="1:21" ht="21" customHeight="1">
      <c r="A46" s="342"/>
      <c r="B46" s="367" t="s">
        <v>215</v>
      </c>
      <c r="C46" s="368"/>
      <c r="D46" s="369"/>
      <c r="E46" s="369"/>
      <c r="F46" s="370" t="s">
        <v>193</v>
      </c>
      <c r="G46" s="371">
        <v>979793</v>
      </c>
      <c r="H46" s="373">
        <v>605203</v>
      </c>
      <c r="I46" s="373">
        <v>915794</v>
      </c>
      <c r="J46" s="451">
        <v>0</v>
      </c>
      <c r="K46" s="373">
        <v>1384634</v>
      </c>
      <c r="L46" s="373">
        <v>677431</v>
      </c>
      <c r="M46" s="373">
        <v>193280</v>
      </c>
      <c r="N46" s="373">
        <v>308540</v>
      </c>
      <c r="O46" s="373">
        <v>396383</v>
      </c>
      <c r="P46" s="373">
        <v>23159</v>
      </c>
      <c r="Q46" s="373">
        <v>86954</v>
      </c>
      <c r="R46" s="373">
        <v>243782</v>
      </c>
      <c r="S46" s="373">
        <v>447834</v>
      </c>
      <c r="T46" s="373">
        <f t="shared" si="0"/>
        <v>6262787</v>
      </c>
      <c r="U46" s="346"/>
    </row>
    <row r="47" spans="1:21" ht="21" customHeight="1">
      <c r="A47" s="342"/>
      <c r="B47" s="380"/>
      <c r="C47" s="374"/>
      <c r="D47" s="374"/>
      <c r="E47" s="374"/>
      <c r="F47" s="375" t="s">
        <v>194</v>
      </c>
      <c r="G47" s="376">
        <v>965217</v>
      </c>
      <c r="H47" s="378">
        <v>1033138</v>
      </c>
      <c r="I47" s="378">
        <v>918269</v>
      </c>
      <c r="J47" s="452">
        <v>0</v>
      </c>
      <c r="K47" s="378">
        <v>1366281</v>
      </c>
      <c r="L47" s="378">
        <v>320500</v>
      </c>
      <c r="M47" s="378">
        <v>319019</v>
      </c>
      <c r="N47" s="378">
        <v>503994</v>
      </c>
      <c r="O47" s="378">
        <v>1243834</v>
      </c>
      <c r="P47" s="378">
        <v>129092</v>
      </c>
      <c r="Q47" s="378">
        <v>127429</v>
      </c>
      <c r="R47" s="378">
        <v>230000</v>
      </c>
      <c r="S47" s="378">
        <v>397351</v>
      </c>
      <c r="T47" s="378">
        <f t="shared" si="0"/>
        <v>7554124</v>
      </c>
      <c r="U47" s="346"/>
    </row>
    <row r="48" spans="1:21" ht="21" customHeight="1">
      <c r="A48" s="342"/>
      <c r="B48" s="388"/>
      <c r="C48" s="389"/>
      <c r="D48" s="390" t="s">
        <v>218</v>
      </c>
      <c r="E48" s="368"/>
      <c r="F48" s="370" t="s">
        <v>193</v>
      </c>
      <c r="G48" s="391">
        <v>0</v>
      </c>
      <c r="H48" s="384">
        <v>0</v>
      </c>
      <c r="I48" s="384">
        <v>0</v>
      </c>
      <c r="J48" s="453" t="s">
        <v>460</v>
      </c>
      <c r="K48" s="384">
        <v>0</v>
      </c>
      <c r="L48" s="384">
        <v>0</v>
      </c>
      <c r="M48" s="384">
        <v>0</v>
      </c>
      <c r="N48" s="384">
        <v>0</v>
      </c>
      <c r="O48" s="384">
        <v>0</v>
      </c>
      <c r="P48" s="384">
        <v>0</v>
      </c>
      <c r="Q48" s="384">
        <v>0</v>
      </c>
      <c r="R48" s="384">
        <v>0</v>
      </c>
      <c r="S48" s="384">
        <v>0</v>
      </c>
      <c r="T48" s="384">
        <f t="shared" si="0"/>
        <v>0</v>
      </c>
      <c r="U48" s="346"/>
    </row>
    <row r="49" spans="1:21" ht="21" customHeight="1">
      <c r="A49" s="342"/>
      <c r="B49" s="392"/>
      <c r="C49" s="393"/>
      <c r="D49" s="374"/>
      <c r="E49" s="374"/>
      <c r="F49" s="375" t="s">
        <v>194</v>
      </c>
      <c r="G49" s="394">
        <v>0</v>
      </c>
      <c r="H49" s="395">
        <v>0</v>
      </c>
      <c r="I49" s="395">
        <v>0</v>
      </c>
      <c r="J49" s="454">
        <v>0</v>
      </c>
      <c r="K49" s="395">
        <v>0</v>
      </c>
      <c r="L49" s="395">
        <v>0</v>
      </c>
      <c r="M49" s="395">
        <v>0</v>
      </c>
      <c r="N49" s="395">
        <v>0</v>
      </c>
      <c r="O49" s="395"/>
      <c r="P49" s="395">
        <v>0</v>
      </c>
      <c r="Q49" s="395">
        <v>0</v>
      </c>
      <c r="R49" s="395">
        <v>0</v>
      </c>
      <c r="S49" s="395">
        <v>0</v>
      </c>
      <c r="T49" s="396">
        <f t="shared" si="0"/>
        <v>0</v>
      </c>
      <c r="U49" s="346"/>
    </row>
    <row r="50" spans="1:21" ht="21" customHeight="1" thickBot="1">
      <c r="A50" s="342"/>
      <c r="B50" s="343" t="s">
        <v>216</v>
      </c>
      <c r="C50" s="344"/>
      <c r="D50" s="344"/>
      <c r="E50" s="344"/>
      <c r="F50" s="344"/>
      <c r="G50" s="427">
        <v>0</v>
      </c>
      <c r="H50" s="428">
        <v>427935</v>
      </c>
      <c r="I50" s="428">
        <v>2475</v>
      </c>
      <c r="J50" s="455">
        <v>0</v>
      </c>
      <c r="K50" s="428">
        <v>140664</v>
      </c>
      <c r="L50" s="428">
        <v>500</v>
      </c>
      <c r="M50" s="428">
        <v>154725</v>
      </c>
      <c r="N50" s="428">
        <v>195454</v>
      </c>
      <c r="O50" s="428">
        <v>847451</v>
      </c>
      <c r="P50" s="428">
        <v>105933</v>
      </c>
      <c r="Q50" s="428">
        <v>40212</v>
      </c>
      <c r="R50" s="428">
        <v>0</v>
      </c>
      <c r="S50" s="428">
        <v>0</v>
      </c>
      <c r="T50" s="345">
        <f t="shared" si="0"/>
        <v>1915349</v>
      </c>
      <c r="U50" s="346"/>
    </row>
    <row r="51" spans="7:20" ht="17.25"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</row>
    <row r="52" spans="7:20" ht="17.25"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</row>
    <row r="53" spans="18:20" ht="17.25">
      <c r="R53" s="413" t="s">
        <v>443</v>
      </c>
      <c r="S53" s="413" t="s">
        <v>444</v>
      </c>
      <c r="T53" s="415">
        <f>T25+T34+T41</f>
        <v>1795902</v>
      </c>
    </row>
    <row r="54" spans="18:20" ht="17.25">
      <c r="R54" s="304"/>
      <c r="S54" s="413" t="s">
        <v>445</v>
      </c>
      <c r="T54" s="415">
        <f>T26+T35+T42</f>
        <v>1968842</v>
      </c>
    </row>
    <row r="55" ht="17.25">
      <c r="T55" s="415"/>
    </row>
    <row r="56" ht="17.25">
      <c r="T56" s="415"/>
    </row>
  </sheetData>
  <sheetProtection/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2015-11-26T08:56:59Z</cp:lastPrinted>
  <dcterms:created xsi:type="dcterms:W3CDTF">2000-11-09T07:23:50Z</dcterms:created>
  <dcterms:modified xsi:type="dcterms:W3CDTF">2015-11-26T08:57:02Z</dcterms:modified>
  <cp:category/>
  <cp:version/>
  <cp:contentType/>
  <cp:contentStatus/>
</cp:coreProperties>
</file>