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c080060$\新コロナ対策\00_新型コロナ対策\105_R5感染症情報・検査ＰＴ\01_感染症情報班\01_レク資料\03_R6.4以降の体制検討\集団発生報告\05_HP作成\医療機関\03_発生患者経過表\"/>
    </mc:Choice>
  </mc:AlternateContent>
  <bookViews>
    <workbookView xWindow="0" yWindow="0" windowWidth="28800" windowHeight="11385"/>
  </bookViews>
  <sheets>
    <sheet name="記載様式（入院患者）" sheetId="16" r:id="rId1"/>
    <sheet name="記載様式（職員）" sheetId="17" r:id="rId2"/>
    <sheet name="入力方法（入院患者）" sheetId="22" r:id="rId3"/>
    <sheet name="入力方法（職員）" sheetId="24" r:id="rId4"/>
    <sheet name="保健所使用" sheetId="20" state="hidden" r:id="rId5"/>
    <sheet name="Sheet2" sheetId="21" state="hidden" r:id="rId6"/>
  </sheets>
  <definedNames>
    <definedName name="_xlnm._FilterDatabase" localSheetId="0" hidden="1">'記載様式（入院患者）'!$B$10:$B$112</definedName>
    <definedName name="_xlnm._FilterDatabase" localSheetId="2" hidden="1">'入力方法（入院患者）'!$B$12:$B$114</definedName>
    <definedName name="_xlnm.Print_Area" localSheetId="1">'記載様式（職員）'!$A$1:$CT$112</definedName>
    <definedName name="_xlnm.Print_Area" localSheetId="0">'記載様式（入院患者）'!$A$1:$CZ$112</definedName>
    <definedName name="_xlnm.Print_Area" localSheetId="3">'入力方法（職員）'!$A$1:$CU$112</definedName>
    <definedName name="_xlnm.Print_Area" localSheetId="2">'入力方法（入院患者）'!$A$1:$CZ$114</definedName>
    <definedName name="_xlnm.Print_Area" localSheetId="4">保健所使用!$A$1:$J$17</definedName>
  </definedNames>
  <calcPr calcId="162913"/>
</workbook>
</file>

<file path=xl/calcChain.xml><?xml version="1.0" encoding="utf-8"?>
<calcChain xmlns="http://schemas.openxmlformats.org/spreadsheetml/2006/main">
  <c r="CN24" i="17" l="1"/>
  <c r="CN10" i="17"/>
  <c r="A112" i="24" l="1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3" i="24"/>
  <c r="A14" i="24" s="1"/>
  <c r="A15" i="24" s="1"/>
  <c r="A16" i="24" s="1"/>
  <c r="A17" i="24" s="1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5" i="22"/>
  <c r="A16" i="22" s="1"/>
  <c r="A17" i="22" s="1"/>
  <c r="A18" i="22" s="1"/>
  <c r="A19" i="22" s="1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4" i="16"/>
  <c r="A13" i="16"/>
  <c r="C2" i="17" l="1"/>
  <c r="C3" i="17"/>
  <c r="C3" i="24" l="1"/>
  <c r="CN10" i="24" l="1"/>
  <c r="CN24" i="24"/>
  <c r="CA3" i="24"/>
  <c r="CY28" i="22" l="1"/>
  <c r="CU28" i="22"/>
  <c r="CO26" i="24" s="1"/>
  <c r="CT13" i="22"/>
  <c r="CY14" i="22"/>
  <c r="CU14" i="22"/>
  <c r="CY26" i="16"/>
  <c r="CU26" i="16"/>
  <c r="CY12" i="16"/>
  <c r="CU12" i="16"/>
  <c r="CZ29" i="22"/>
  <c r="CY29" i="22"/>
  <c r="CS27" i="24" s="1"/>
  <c r="CZ28" i="22"/>
  <c r="CX29" i="22"/>
  <c r="CX27" i="22"/>
  <c r="CT39" i="22"/>
  <c r="CN37" i="24" s="1"/>
  <c r="CV28" i="22"/>
  <c r="CP26" i="24" s="1"/>
  <c r="CT27" i="22"/>
  <c r="CT26" i="22"/>
  <c r="CZ15" i="22"/>
  <c r="CY15" i="22"/>
  <c r="CS13" i="24" s="1"/>
  <c r="CZ14" i="22"/>
  <c r="CX15" i="22"/>
  <c r="CX13" i="22"/>
  <c r="CT25" i="22"/>
  <c r="CN23" i="24" s="1"/>
  <c r="CV14" i="22"/>
  <c r="CT12" i="22"/>
  <c r="CZ27" i="16" l="1"/>
  <c r="CY27" i="16"/>
  <c r="CS27" i="17" s="1"/>
  <c r="CX11" i="16"/>
  <c r="CX13" i="16"/>
  <c r="CT11" i="16" l="1"/>
  <c r="CZ26" i="16"/>
  <c r="CX27" i="16"/>
  <c r="CX25" i="16"/>
  <c r="CT37" i="16"/>
  <c r="CN37" i="17" s="1"/>
  <c r="CV26" i="16"/>
  <c r="CP26" i="17" s="1"/>
  <c r="CO26" i="17"/>
  <c r="CT25" i="16"/>
  <c r="CT24" i="16"/>
  <c r="CZ13" i="16"/>
  <c r="CY13" i="16"/>
  <c r="CZ12" i="16"/>
  <c r="CT23" i="16"/>
  <c r="CN23" i="17" s="1"/>
  <c r="CV12" i="16"/>
  <c r="CT10" i="16"/>
  <c r="BV11" i="24" l="1"/>
  <c r="BU11" i="24"/>
  <c r="BT11" i="24"/>
  <c r="BS11" i="24"/>
  <c r="BR11" i="24"/>
  <c r="BQ11" i="24"/>
  <c r="BP11" i="24"/>
  <c r="BO11" i="24"/>
  <c r="BN11" i="24"/>
  <c r="BM11" i="24"/>
  <c r="BL11" i="24"/>
  <c r="BK11" i="24"/>
  <c r="BJ11" i="24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Q10" i="24" s="1"/>
  <c r="AP11" i="24"/>
  <c r="AO11" i="24"/>
  <c r="AN11" i="24"/>
  <c r="AM11" i="24"/>
  <c r="AM10" i="24" s="1"/>
  <c r="AL11" i="24"/>
  <c r="AK11" i="24"/>
  <c r="AJ11" i="24"/>
  <c r="AI11" i="24"/>
  <c r="AI10" i="24" s="1"/>
  <c r="AH11" i="24"/>
  <c r="AG11" i="24"/>
  <c r="AF11" i="24"/>
  <c r="AE11" i="24"/>
  <c r="AE10" i="24" s="1"/>
  <c r="AD11" i="24"/>
  <c r="AC11" i="24"/>
  <c r="AB11" i="24"/>
  <c r="AA11" i="24"/>
  <c r="AA10" i="24" s="1"/>
  <c r="Z11" i="24"/>
  <c r="Y11" i="24"/>
  <c r="X11" i="24"/>
  <c r="W11" i="24"/>
  <c r="W10" i="24" s="1"/>
  <c r="V11" i="24"/>
  <c r="U11" i="24"/>
  <c r="T11" i="24"/>
  <c r="S11" i="24"/>
  <c r="S10" i="24" s="1"/>
  <c r="R11" i="24"/>
  <c r="Q11" i="24"/>
  <c r="P11" i="24"/>
  <c r="O11" i="24"/>
  <c r="BV10" i="24"/>
  <c r="BU10" i="24"/>
  <c r="BT10" i="24"/>
  <c r="BS10" i="24"/>
  <c r="BR10" i="24"/>
  <c r="BQ10" i="24"/>
  <c r="BP10" i="24"/>
  <c r="BO10" i="24"/>
  <c r="BN10" i="24"/>
  <c r="BM10" i="24"/>
  <c r="BL10" i="24"/>
  <c r="BK10" i="24"/>
  <c r="BJ10" i="24"/>
  <c r="BI10" i="24"/>
  <c r="BH10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U10" i="24"/>
  <c r="AT10" i="24"/>
  <c r="AR10" i="24"/>
  <c r="AP10" i="24"/>
  <c r="AO10" i="24"/>
  <c r="AN10" i="24"/>
  <c r="AL10" i="24"/>
  <c r="AK10" i="24"/>
  <c r="AJ10" i="24"/>
  <c r="AH10" i="24"/>
  <c r="AG10" i="24"/>
  <c r="AF10" i="24"/>
  <c r="AD10" i="24"/>
  <c r="AC10" i="24"/>
  <c r="AB10" i="24"/>
  <c r="Z10" i="24"/>
  <c r="Y10" i="24"/>
  <c r="X10" i="24"/>
  <c r="V10" i="24"/>
  <c r="U10" i="24"/>
  <c r="T10" i="24"/>
  <c r="R10" i="24"/>
  <c r="Q10" i="24"/>
  <c r="P10" i="24"/>
  <c r="O10" i="24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E12" i="22" s="1"/>
  <c r="BD13" i="22"/>
  <c r="BD12" i="22" s="1"/>
  <c r="BC13" i="22"/>
  <c r="BC12" i="22" s="1"/>
  <c r="BB13" i="22"/>
  <c r="BB12" i="22" s="1"/>
  <c r="BA13" i="22"/>
  <c r="AZ13" i="22"/>
  <c r="AZ12" i="22" s="1"/>
  <c r="AY13" i="22"/>
  <c r="AY12" i="22" s="1"/>
  <c r="AX13" i="22"/>
  <c r="AX12" i="22" s="1"/>
  <c r="AW13" i="22"/>
  <c r="AV13" i="22"/>
  <c r="AV12" i="22" s="1"/>
  <c r="AU13" i="22"/>
  <c r="AU12" i="22" s="1"/>
  <c r="AT13" i="22"/>
  <c r="AS13" i="22"/>
  <c r="AR13" i="22"/>
  <c r="AR12" i="22" s="1"/>
  <c r="AQ13" i="22"/>
  <c r="AQ12" i="22" s="1"/>
  <c r="AP13" i="22"/>
  <c r="AP12" i="22" s="1"/>
  <c r="AO13" i="22"/>
  <c r="AN13" i="22"/>
  <c r="AN12" i="22" s="1"/>
  <c r="AM13" i="22"/>
  <c r="AM12" i="22" s="1"/>
  <c r="AL13" i="22"/>
  <c r="AL12" i="22" s="1"/>
  <c r="AK13" i="22"/>
  <c r="AK12" i="22" s="1"/>
  <c r="AJ13" i="22"/>
  <c r="AI13" i="22"/>
  <c r="AI12" i="22" s="1"/>
  <c r="AH13" i="22"/>
  <c r="AH12" i="22" s="1"/>
  <c r="AG13" i="22"/>
  <c r="AF13" i="22"/>
  <c r="AF12" i="22" s="1"/>
  <c r="AE13" i="22"/>
  <c r="AE12" i="22" s="1"/>
  <c r="AD13" i="22"/>
  <c r="AD12" i="22" s="1"/>
  <c r="AC13" i="22"/>
  <c r="AC12" i="22" s="1"/>
  <c r="AB13" i="22"/>
  <c r="AA13" i="22"/>
  <c r="AA12" i="22" s="1"/>
  <c r="Z13" i="22"/>
  <c r="Z12" i="22" s="1"/>
  <c r="Y13" i="22"/>
  <c r="X13" i="22"/>
  <c r="X12" i="22" s="1"/>
  <c r="W13" i="22"/>
  <c r="W12" i="22" s="1"/>
  <c r="V13" i="22"/>
  <c r="V12" i="22" s="1"/>
  <c r="U13" i="22"/>
  <c r="U12" i="22" s="1"/>
  <c r="T13" i="22"/>
  <c r="T12" i="22" s="1"/>
  <c r="S13" i="22"/>
  <c r="S12" i="22" s="1"/>
  <c r="R13" i="22"/>
  <c r="R12" i="22" s="1"/>
  <c r="Q13" i="22"/>
  <c r="P13" i="22"/>
  <c r="P12" i="22" s="1"/>
  <c r="O13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A12" i="22"/>
  <c r="AW12" i="22"/>
  <c r="AT12" i="22"/>
  <c r="AO12" i="22"/>
  <c r="AJ12" i="22"/>
  <c r="AG12" i="22"/>
  <c r="AB12" i="22"/>
  <c r="Y12" i="22"/>
  <c r="Q12" i="22"/>
  <c r="O12" i="22"/>
  <c r="BV11" i="16"/>
  <c r="BU11" i="16"/>
  <c r="BT11" i="16"/>
  <c r="BS11" i="16"/>
  <c r="BR11" i="16"/>
  <c r="BQ11" i="16"/>
  <c r="BP11" i="16"/>
  <c r="BO11" i="16"/>
  <c r="BN11" i="16"/>
  <c r="BM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Q10" i="16" l="1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J10" i="16"/>
  <c r="AK10" i="16"/>
  <c r="AL10" i="16"/>
  <c r="AM10" i="16"/>
  <c r="AN10" i="16"/>
  <c r="AO10" i="16"/>
  <c r="AP10" i="16"/>
  <c r="AQ10" i="16"/>
  <c r="AR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N10" i="16"/>
  <c r="BO10" i="16"/>
  <c r="BP10" i="16"/>
  <c r="BQ10" i="16"/>
  <c r="BR10" i="16"/>
  <c r="BS10" i="16"/>
  <c r="BT10" i="16"/>
  <c r="BU10" i="16"/>
  <c r="BV10" i="16"/>
  <c r="P10" i="16"/>
  <c r="O10" i="16"/>
  <c r="CS26" i="24" l="1"/>
  <c r="CN11" i="24" l="1"/>
  <c r="CS12" i="24"/>
  <c r="CR11" i="24"/>
  <c r="CO12" i="24"/>
  <c r="CT26" i="24"/>
  <c r="CN25" i="24"/>
  <c r="CR27" i="24"/>
  <c r="CR25" i="24"/>
  <c r="CT27" i="24"/>
  <c r="CJ112" i="24" l="1"/>
  <c r="CI112" i="24"/>
  <c r="CJ111" i="24"/>
  <c r="CI111" i="24"/>
  <c r="CJ110" i="24"/>
  <c r="CI110" i="24"/>
  <c r="CJ109" i="24"/>
  <c r="CI109" i="24"/>
  <c r="CJ108" i="24"/>
  <c r="CI108" i="24"/>
  <c r="CJ107" i="24"/>
  <c r="CI107" i="24"/>
  <c r="CJ106" i="24"/>
  <c r="CI106" i="24"/>
  <c r="CJ105" i="24"/>
  <c r="CI105" i="24"/>
  <c r="CJ104" i="24"/>
  <c r="CI104" i="24"/>
  <c r="CJ103" i="24"/>
  <c r="CI103" i="24"/>
  <c r="CJ102" i="24"/>
  <c r="CI102" i="24"/>
  <c r="CJ101" i="24"/>
  <c r="CI101" i="24"/>
  <c r="CJ100" i="24"/>
  <c r="CI100" i="24"/>
  <c r="CJ99" i="24"/>
  <c r="CI99" i="24"/>
  <c r="CJ98" i="24"/>
  <c r="CI98" i="24"/>
  <c r="CJ97" i="24"/>
  <c r="CI97" i="24"/>
  <c r="CJ96" i="24"/>
  <c r="CI96" i="24"/>
  <c r="CJ95" i="24"/>
  <c r="CI95" i="24"/>
  <c r="CJ94" i="24"/>
  <c r="CI94" i="24"/>
  <c r="CJ93" i="24"/>
  <c r="CI93" i="24"/>
  <c r="CJ92" i="24"/>
  <c r="CI92" i="24"/>
  <c r="CJ91" i="24"/>
  <c r="CI91" i="24"/>
  <c r="CJ90" i="24"/>
  <c r="CI90" i="24"/>
  <c r="CJ89" i="24"/>
  <c r="CI89" i="24"/>
  <c r="CJ88" i="24"/>
  <c r="CI88" i="24"/>
  <c r="CJ87" i="24"/>
  <c r="CI87" i="24"/>
  <c r="CJ86" i="24"/>
  <c r="CI86" i="24"/>
  <c r="CJ85" i="24"/>
  <c r="CI85" i="24"/>
  <c r="CJ84" i="24"/>
  <c r="CI84" i="24"/>
  <c r="CJ83" i="24"/>
  <c r="CI83" i="24"/>
  <c r="CJ82" i="24"/>
  <c r="CI82" i="24"/>
  <c r="CJ81" i="24"/>
  <c r="CI81" i="24"/>
  <c r="CJ80" i="24"/>
  <c r="CI80" i="24"/>
  <c r="CJ79" i="24"/>
  <c r="CI79" i="24"/>
  <c r="CJ78" i="24"/>
  <c r="CI78" i="24"/>
  <c r="CJ77" i="24"/>
  <c r="CI77" i="24"/>
  <c r="CJ76" i="24"/>
  <c r="CI76" i="24"/>
  <c r="CJ75" i="24"/>
  <c r="CI75" i="24"/>
  <c r="CJ74" i="24"/>
  <c r="CI74" i="24"/>
  <c r="CJ73" i="24"/>
  <c r="CI73" i="24"/>
  <c r="CJ72" i="24"/>
  <c r="CI72" i="24"/>
  <c r="CJ71" i="24"/>
  <c r="CI71" i="24"/>
  <c r="CJ70" i="24"/>
  <c r="CI70" i="24"/>
  <c r="CJ69" i="24"/>
  <c r="CI69" i="24"/>
  <c r="CJ68" i="24"/>
  <c r="CI68" i="24"/>
  <c r="CJ67" i="24"/>
  <c r="CI67" i="24"/>
  <c r="CJ66" i="24"/>
  <c r="CI66" i="24"/>
  <c r="CJ65" i="24"/>
  <c r="CI65" i="24"/>
  <c r="CJ64" i="24"/>
  <c r="CI64" i="24"/>
  <c r="CJ63" i="24"/>
  <c r="CI63" i="24"/>
  <c r="CJ62" i="24"/>
  <c r="CI62" i="24"/>
  <c r="CJ61" i="24"/>
  <c r="CI61" i="24"/>
  <c r="CJ60" i="24"/>
  <c r="CI60" i="24"/>
  <c r="CJ59" i="24"/>
  <c r="CI59" i="24"/>
  <c r="CJ58" i="24"/>
  <c r="CI58" i="24"/>
  <c r="CJ57" i="24"/>
  <c r="CI57" i="24"/>
  <c r="CJ56" i="24"/>
  <c r="CI56" i="24"/>
  <c r="CJ55" i="24"/>
  <c r="CI55" i="24"/>
  <c r="CJ54" i="24"/>
  <c r="CI54" i="24"/>
  <c r="CJ53" i="24"/>
  <c r="CI53" i="24"/>
  <c r="CJ52" i="24"/>
  <c r="CI52" i="24"/>
  <c r="CJ51" i="24"/>
  <c r="CI51" i="24"/>
  <c r="CJ50" i="24"/>
  <c r="CI50" i="24"/>
  <c r="CJ49" i="24"/>
  <c r="CI49" i="24"/>
  <c r="CJ48" i="24"/>
  <c r="CI48" i="24"/>
  <c r="CJ47" i="24"/>
  <c r="CI47" i="24"/>
  <c r="CJ46" i="24"/>
  <c r="CI46" i="24"/>
  <c r="CJ45" i="24"/>
  <c r="CI45" i="24"/>
  <c r="CJ44" i="24"/>
  <c r="CI44" i="24"/>
  <c r="CJ43" i="24"/>
  <c r="CI43" i="24"/>
  <c r="CJ42" i="24"/>
  <c r="CI42" i="24"/>
  <c r="CJ41" i="24"/>
  <c r="CI41" i="24"/>
  <c r="CJ40" i="24"/>
  <c r="CI40" i="24"/>
  <c r="CJ39" i="24"/>
  <c r="CI39" i="24"/>
  <c r="CJ38" i="24"/>
  <c r="CI38" i="24"/>
  <c r="CJ37" i="24"/>
  <c r="CI37" i="24"/>
  <c r="CJ36" i="24"/>
  <c r="CI36" i="24"/>
  <c r="CJ35" i="24"/>
  <c r="CI35" i="24"/>
  <c r="CJ34" i="24"/>
  <c r="CI34" i="24"/>
  <c r="CJ33" i="24"/>
  <c r="CI33" i="24"/>
  <c r="CJ32" i="24"/>
  <c r="CI32" i="24"/>
  <c r="CJ31" i="24"/>
  <c r="CI31" i="24"/>
  <c r="CJ30" i="24"/>
  <c r="CI30" i="24"/>
  <c r="CJ29" i="24"/>
  <c r="CI29" i="24"/>
  <c r="CJ28" i="24"/>
  <c r="CI28" i="24"/>
  <c r="CJ27" i="24"/>
  <c r="CI27" i="24"/>
  <c r="CJ26" i="24"/>
  <c r="CI26" i="24"/>
  <c r="CJ25" i="24"/>
  <c r="CI25" i="24"/>
  <c r="CJ24" i="24"/>
  <c r="CI24" i="24"/>
  <c r="CJ23" i="24"/>
  <c r="CI23" i="24"/>
  <c r="CJ22" i="24"/>
  <c r="CI22" i="24"/>
  <c r="CJ21" i="24"/>
  <c r="CI21" i="24"/>
  <c r="CJ20" i="24"/>
  <c r="CI20" i="24"/>
  <c r="CJ19" i="24"/>
  <c r="CI19" i="24"/>
  <c r="CJ18" i="24"/>
  <c r="CI18" i="24"/>
  <c r="CI17" i="24"/>
  <c r="CI16" i="24"/>
  <c r="CI15" i="24"/>
  <c r="CI14" i="24"/>
  <c r="CI13" i="24"/>
  <c r="CP12" i="24"/>
  <c r="BT8" i="24"/>
  <c r="BP8" i="24"/>
  <c r="BL8" i="24"/>
  <c r="BH8" i="24"/>
  <c r="BD8" i="24"/>
  <c r="AZ8" i="24"/>
  <c r="AV8" i="24"/>
  <c r="AR8" i="24"/>
  <c r="AN8" i="24"/>
  <c r="AJ8" i="24"/>
  <c r="AF8" i="24"/>
  <c r="AB8" i="24"/>
  <c r="X8" i="24"/>
  <c r="T8" i="24"/>
  <c r="P8" i="24"/>
  <c r="BV7" i="24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O7" i="24" l="1"/>
  <c r="S7" i="24"/>
  <c r="W7" i="24"/>
  <c r="AA7" i="24"/>
  <c r="AE7" i="24"/>
  <c r="AI7" i="24"/>
  <c r="AM7" i="24"/>
  <c r="AQ7" i="24"/>
  <c r="AU7" i="24"/>
  <c r="AY7" i="24"/>
  <c r="BC7" i="24"/>
  <c r="BG7" i="24"/>
  <c r="BK7" i="24"/>
  <c r="BO7" i="24"/>
  <c r="BS7" i="24"/>
  <c r="Q8" i="24"/>
  <c r="U8" i="24"/>
  <c r="Y8" i="24"/>
  <c r="AC8" i="24"/>
  <c r="AG8" i="24"/>
  <c r="AK8" i="24"/>
  <c r="AO8" i="24"/>
  <c r="AS8" i="24"/>
  <c r="AS10" i="24" s="1"/>
  <c r="AW8" i="24"/>
  <c r="BA8" i="24"/>
  <c r="BE8" i="24"/>
  <c r="BI8" i="24"/>
  <c r="BM8" i="24"/>
  <c r="BQ8" i="24"/>
  <c r="BU8" i="24"/>
  <c r="CR13" i="24"/>
  <c r="CT13" i="24"/>
  <c r="CT12" i="24"/>
  <c r="P7" i="24"/>
  <c r="P9" i="24" s="1"/>
  <c r="P12" i="24" s="1"/>
  <c r="T7" i="24"/>
  <c r="T9" i="24" s="1"/>
  <c r="T12" i="24" s="1"/>
  <c r="X7" i="24"/>
  <c r="AB7" i="24"/>
  <c r="AF7" i="24"/>
  <c r="AJ7" i="24"/>
  <c r="AJ9" i="24" s="1"/>
  <c r="AJ12" i="24" s="1"/>
  <c r="AN7" i="24"/>
  <c r="AR7" i="24"/>
  <c r="AV7" i="24"/>
  <c r="AZ7" i="24"/>
  <c r="AZ9" i="24" s="1"/>
  <c r="AZ12" i="24" s="1"/>
  <c r="BD7" i="24"/>
  <c r="BH7" i="24"/>
  <c r="BL7" i="24"/>
  <c r="BP7" i="24"/>
  <c r="BP9" i="24" s="1"/>
  <c r="BP12" i="24" s="1"/>
  <c r="BT7" i="24"/>
  <c r="R8" i="24"/>
  <c r="V8" i="24"/>
  <c r="AD8" i="24"/>
  <c r="AD9" i="24" s="1"/>
  <c r="AD12" i="24" s="1"/>
  <c r="AH8" i="24"/>
  <c r="AL8" i="24"/>
  <c r="AP8" i="24"/>
  <c r="AT8" i="24"/>
  <c r="AT9" i="24" s="1"/>
  <c r="AT12" i="24" s="1"/>
  <c r="AX8" i="24"/>
  <c r="BB8" i="24"/>
  <c r="BJ8" i="24"/>
  <c r="BJ9" i="24" s="1"/>
  <c r="BJ12" i="24" s="1"/>
  <c r="BN8" i="24"/>
  <c r="BN9" i="24" s="1"/>
  <c r="BN12" i="24" s="1"/>
  <c r="BR8" i="24"/>
  <c r="BR9" i="24" s="1"/>
  <c r="BR12" i="24" s="1"/>
  <c r="BV8" i="24"/>
  <c r="Z8" i="24"/>
  <c r="BF8" i="24"/>
  <c r="BF9" i="24" s="1"/>
  <c r="BF12" i="24" s="1"/>
  <c r="Q7" i="24"/>
  <c r="U7" i="24"/>
  <c r="Y7" i="24"/>
  <c r="AC7" i="24"/>
  <c r="AG7" i="24"/>
  <c r="AK7" i="24"/>
  <c r="AO7" i="24"/>
  <c r="AS7" i="24"/>
  <c r="AW7" i="24"/>
  <c r="BA7" i="24"/>
  <c r="BE7" i="24"/>
  <c r="BI7" i="24"/>
  <c r="BM7" i="24"/>
  <c r="BQ7" i="24"/>
  <c r="BU7" i="24"/>
  <c r="O8" i="24"/>
  <c r="S8" i="24"/>
  <c r="W8" i="24"/>
  <c r="AA8" i="24"/>
  <c r="AE8" i="24"/>
  <c r="AI8" i="24"/>
  <c r="AM8" i="24"/>
  <c r="AQ8" i="24"/>
  <c r="AU8" i="24"/>
  <c r="AY8" i="24"/>
  <c r="BC8" i="24"/>
  <c r="BG8" i="24"/>
  <c r="BK8" i="24"/>
  <c r="BO8" i="24"/>
  <c r="BS8" i="24"/>
  <c r="X9" i="24" l="1"/>
  <c r="X12" i="24" s="1"/>
  <c r="AX9" i="24"/>
  <c r="AX12" i="24" s="1"/>
  <c r="AP9" i="24"/>
  <c r="AP12" i="24" s="1"/>
  <c r="BQ9" i="24"/>
  <c r="BQ12" i="24" s="1"/>
  <c r="BA9" i="24"/>
  <c r="BA12" i="24" s="1"/>
  <c r="AK9" i="24"/>
  <c r="AK12" i="24" s="1"/>
  <c r="U9" i="24"/>
  <c r="U12" i="24" s="1"/>
  <c r="Z9" i="24"/>
  <c r="Z12" i="24" s="1"/>
  <c r="BG9" i="24"/>
  <c r="BG12" i="24" s="1"/>
  <c r="AQ9" i="24"/>
  <c r="AQ12" i="24" s="1"/>
  <c r="AA9" i="24"/>
  <c r="AA12" i="24" s="1"/>
  <c r="BB9" i="24"/>
  <c r="BB12" i="24" s="1"/>
  <c r="AH9" i="24"/>
  <c r="AH12" i="24" s="1"/>
  <c r="BD9" i="24"/>
  <c r="BD12" i="24" s="1"/>
  <c r="AN9" i="24"/>
  <c r="AN12" i="24" s="1"/>
  <c r="V9" i="24"/>
  <c r="V12" i="24" s="1"/>
  <c r="AV9" i="24"/>
  <c r="AV12" i="24" s="1"/>
  <c r="AF9" i="24"/>
  <c r="AF12" i="24" s="1"/>
  <c r="BO9" i="24"/>
  <c r="BO12" i="24" s="1"/>
  <c r="AY9" i="24"/>
  <c r="AY12" i="24" s="1"/>
  <c r="AI9" i="24"/>
  <c r="AI12" i="24" s="1"/>
  <c r="S9" i="24"/>
  <c r="S12" i="24" s="1"/>
  <c r="R9" i="24"/>
  <c r="R12" i="24" s="1"/>
  <c r="BV9" i="24"/>
  <c r="BV12" i="24" s="1"/>
  <c r="BT9" i="24"/>
  <c r="BT12" i="24" s="1"/>
  <c r="BM9" i="24"/>
  <c r="BM12" i="24" s="1"/>
  <c r="AW9" i="24"/>
  <c r="AW12" i="24" s="1"/>
  <c r="AG9" i="24"/>
  <c r="AG12" i="24" s="1"/>
  <c r="Q9" i="24"/>
  <c r="BI9" i="24"/>
  <c r="BI12" i="24" s="1"/>
  <c r="AS9" i="24"/>
  <c r="AS12" i="24" s="1"/>
  <c r="AC9" i="24"/>
  <c r="AC12" i="24" s="1"/>
  <c r="BL9" i="24"/>
  <c r="BL12" i="24" s="1"/>
  <c r="CJ15" i="24"/>
  <c r="CJ13" i="24"/>
  <c r="CJ14" i="24"/>
  <c r="BU9" i="24"/>
  <c r="BU12" i="24" s="1"/>
  <c r="BE9" i="24"/>
  <c r="BE12" i="24" s="1"/>
  <c r="AO9" i="24"/>
  <c r="AO12" i="24" s="1"/>
  <c r="Y9" i="24"/>
  <c r="Y12" i="24" s="1"/>
  <c r="BH9" i="24"/>
  <c r="BH12" i="24" s="1"/>
  <c r="AR9" i="24"/>
  <c r="AR12" i="24" s="1"/>
  <c r="AB9" i="24"/>
  <c r="AB12" i="24" s="1"/>
  <c r="BK9" i="24"/>
  <c r="BK12" i="24" s="1"/>
  <c r="AU9" i="24"/>
  <c r="AU12" i="24" s="1"/>
  <c r="AE9" i="24"/>
  <c r="AE12" i="24" s="1"/>
  <c r="O9" i="24"/>
  <c r="O12" i="24" s="1"/>
  <c r="AL9" i="24"/>
  <c r="AL12" i="24" s="1"/>
  <c r="BS9" i="24"/>
  <c r="BS12" i="24" s="1"/>
  <c r="BC9" i="24"/>
  <c r="BC12" i="24" s="1"/>
  <c r="AM9" i="24"/>
  <c r="AM12" i="24" s="1"/>
  <c r="W9" i="24"/>
  <c r="W12" i="24" s="1"/>
  <c r="Q12" i="24" l="1"/>
  <c r="CJ16" i="24"/>
  <c r="CJ17" i="24"/>
  <c r="CM114" i="22"/>
  <c r="CL114" i="22"/>
  <c r="CK114" i="22"/>
  <c r="CM113" i="22"/>
  <c r="CL113" i="22"/>
  <c r="CK113" i="22"/>
  <c r="CM112" i="22"/>
  <c r="CL112" i="22"/>
  <c r="CK112" i="22"/>
  <c r="CM111" i="22"/>
  <c r="CL111" i="22"/>
  <c r="CK111" i="22"/>
  <c r="CM110" i="22"/>
  <c r="CL110" i="22"/>
  <c r="CK110" i="22"/>
  <c r="CM109" i="22"/>
  <c r="CL109" i="22"/>
  <c r="CK109" i="22"/>
  <c r="CM108" i="22"/>
  <c r="CL108" i="22"/>
  <c r="CK108" i="22"/>
  <c r="CM107" i="22"/>
  <c r="CL107" i="22"/>
  <c r="CK107" i="22"/>
  <c r="CM106" i="22"/>
  <c r="CL106" i="22"/>
  <c r="CK106" i="22"/>
  <c r="CM105" i="22"/>
  <c r="CL105" i="22"/>
  <c r="CK105" i="22"/>
  <c r="CM104" i="22"/>
  <c r="CL104" i="22"/>
  <c r="CK104" i="22"/>
  <c r="CM103" i="22"/>
  <c r="CL103" i="22"/>
  <c r="CK103" i="22"/>
  <c r="CM102" i="22"/>
  <c r="CL102" i="22"/>
  <c r="CK102" i="22"/>
  <c r="CM101" i="22"/>
  <c r="CL101" i="22"/>
  <c r="CK101" i="22"/>
  <c r="CM100" i="22"/>
  <c r="CL100" i="22"/>
  <c r="CK100" i="22"/>
  <c r="CM99" i="22"/>
  <c r="CL99" i="22"/>
  <c r="CK99" i="22"/>
  <c r="CM98" i="22"/>
  <c r="CL98" i="22"/>
  <c r="CK98" i="22"/>
  <c r="CM97" i="22"/>
  <c r="CL97" i="22"/>
  <c r="CK97" i="22"/>
  <c r="CM96" i="22"/>
  <c r="CL96" i="22"/>
  <c r="CK96" i="22"/>
  <c r="CM95" i="22"/>
  <c r="CL95" i="22"/>
  <c r="CK95" i="22"/>
  <c r="CM94" i="22"/>
  <c r="CL94" i="22"/>
  <c r="CK94" i="22"/>
  <c r="CM93" i="22"/>
  <c r="CL93" i="22"/>
  <c r="CK93" i="22"/>
  <c r="CM92" i="22"/>
  <c r="CL92" i="22"/>
  <c r="CK92" i="22"/>
  <c r="CM91" i="22"/>
  <c r="CL91" i="22"/>
  <c r="CK91" i="22"/>
  <c r="CM90" i="22"/>
  <c r="CL90" i="22"/>
  <c r="CK90" i="22"/>
  <c r="CM89" i="22"/>
  <c r="CL89" i="22"/>
  <c r="CK89" i="22"/>
  <c r="CM88" i="22"/>
  <c r="CL88" i="22"/>
  <c r="CK88" i="22"/>
  <c r="CM87" i="22"/>
  <c r="CL87" i="22"/>
  <c r="CK87" i="22"/>
  <c r="CM86" i="22"/>
  <c r="CL86" i="22"/>
  <c r="CK86" i="22"/>
  <c r="CM85" i="22"/>
  <c r="CL85" i="22"/>
  <c r="CK85" i="22"/>
  <c r="CM84" i="22"/>
  <c r="CL84" i="22"/>
  <c r="CK84" i="22"/>
  <c r="CM83" i="22"/>
  <c r="CL83" i="22"/>
  <c r="CK83" i="22"/>
  <c r="CM82" i="22"/>
  <c r="CL82" i="22"/>
  <c r="CK82" i="22"/>
  <c r="CM81" i="22"/>
  <c r="CL81" i="22"/>
  <c r="CK81" i="22"/>
  <c r="CM80" i="22"/>
  <c r="CL80" i="22"/>
  <c r="CK80" i="22"/>
  <c r="CM79" i="22"/>
  <c r="CL79" i="22"/>
  <c r="CK79" i="22"/>
  <c r="CM78" i="22"/>
  <c r="CL78" i="22"/>
  <c r="CK78" i="22"/>
  <c r="CM77" i="22"/>
  <c r="CL77" i="22"/>
  <c r="CK77" i="22"/>
  <c r="CM76" i="22"/>
  <c r="CL76" i="22"/>
  <c r="CK76" i="22"/>
  <c r="CM75" i="22"/>
  <c r="CL75" i="22"/>
  <c r="CK75" i="22"/>
  <c r="CM74" i="22"/>
  <c r="CL74" i="22"/>
  <c r="CK74" i="22"/>
  <c r="CM73" i="22"/>
  <c r="CL73" i="22"/>
  <c r="CK73" i="22"/>
  <c r="CM72" i="22"/>
  <c r="CL72" i="22"/>
  <c r="CK72" i="22"/>
  <c r="CM71" i="22"/>
  <c r="CL71" i="22"/>
  <c r="CK71" i="22"/>
  <c r="CM70" i="22"/>
  <c r="CL70" i="22"/>
  <c r="CK70" i="22"/>
  <c r="CM69" i="22"/>
  <c r="CL69" i="22"/>
  <c r="CK69" i="22"/>
  <c r="CM68" i="22"/>
  <c r="CL68" i="22"/>
  <c r="CK68" i="22"/>
  <c r="CM67" i="22"/>
  <c r="CL67" i="22"/>
  <c r="CK67" i="22"/>
  <c r="CM66" i="22"/>
  <c r="CL66" i="22"/>
  <c r="CK66" i="22"/>
  <c r="CM65" i="22"/>
  <c r="CL65" i="22"/>
  <c r="CK65" i="22"/>
  <c r="CM64" i="22"/>
  <c r="CL64" i="22"/>
  <c r="CK64" i="22"/>
  <c r="CM63" i="22"/>
  <c r="CL63" i="22"/>
  <c r="CK63" i="22"/>
  <c r="CM62" i="22"/>
  <c r="CL62" i="22"/>
  <c r="CK62" i="22"/>
  <c r="CM61" i="22"/>
  <c r="CL61" i="22"/>
  <c r="CK61" i="22"/>
  <c r="CM60" i="22"/>
  <c r="CL60" i="22"/>
  <c r="CK60" i="22"/>
  <c r="CM59" i="22"/>
  <c r="CL59" i="22"/>
  <c r="CK59" i="22"/>
  <c r="CM58" i="22"/>
  <c r="CL58" i="22"/>
  <c r="CK58" i="22"/>
  <c r="CM57" i="22"/>
  <c r="CL57" i="22"/>
  <c r="CK57" i="22"/>
  <c r="CM56" i="22"/>
  <c r="CL56" i="22"/>
  <c r="CK56" i="22"/>
  <c r="CM55" i="22"/>
  <c r="CL55" i="22"/>
  <c r="CK55" i="22"/>
  <c r="CM54" i="22"/>
  <c r="CL54" i="22"/>
  <c r="CK54" i="22"/>
  <c r="CM53" i="22"/>
  <c r="CL53" i="22"/>
  <c r="CK53" i="22"/>
  <c r="CM52" i="22"/>
  <c r="CL52" i="22"/>
  <c r="CK52" i="22"/>
  <c r="CM51" i="22"/>
  <c r="CL51" i="22"/>
  <c r="CK51" i="22"/>
  <c r="CM50" i="22"/>
  <c r="CL50" i="22"/>
  <c r="CK50" i="22"/>
  <c r="CM49" i="22"/>
  <c r="CL49" i="22"/>
  <c r="CK49" i="22"/>
  <c r="CM48" i="22"/>
  <c r="CL48" i="22"/>
  <c r="CK48" i="22"/>
  <c r="CM47" i="22"/>
  <c r="CL47" i="22"/>
  <c r="CK47" i="22"/>
  <c r="CM46" i="22"/>
  <c r="CL46" i="22"/>
  <c r="CK46" i="22"/>
  <c r="CM45" i="22"/>
  <c r="CL45" i="22"/>
  <c r="CK45" i="22"/>
  <c r="CM44" i="22"/>
  <c r="CL44" i="22"/>
  <c r="CK44" i="22"/>
  <c r="CM43" i="22"/>
  <c r="CL43" i="22"/>
  <c r="CK43" i="22"/>
  <c r="CM42" i="22"/>
  <c r="CL42" i="22"/>
  <c r="CK42" i="22"/>
  <c r="CM41" i="22"/>
  <c r="CL41" i="22"/>
  <c r="CK41" i="22"/>
  <c r="CM40" i="22"/>
  <c r="CL40" i="22"/>
  <c r="CK40" i="22"/>
  <c r="CM39" i="22"/>
  <c r="CL39" i="22"/>
  <c r="CK39" i="22"/>
  <c r="CM38" i="22"/>
  <c r="CL38" i="22"/>
  <c r="CK38" i="22"/>
  <c r="CM37" i="22"/>
  <c r="CL37" i="22"/>
  <c r="CK37" i="22"/>
  <c r="CM36" i="22"/>
  <c r="CL36" i="22"/>
  <c r="CK36" i="22"/>
  <c r="CM35" i="22"/>
  <c r="CL35" i="22"/>
  <c r="CK35" i="22"/>
  <c r="CM34" i="22"/>
  <c r="CL34" i="22"/>
  <c r="CK34" i="22"/>
  <c r="CM33" i="22"/>
  <c r="CL33" i="22"/>
  <c r="CK33" i="22"/>
  <c r="CM32" i="22"/>
  <c r="CL32" i="22"/>
  <c r="CK32" i="22"/>
  <c r="CM31" i="22"/>
  <c r="CL31" i="22"/>
  <c r="CK31" i="22"/>
  <c r="CM30" i="22"/>
  <c r="CL30" i="22"/>
  <c r="CK30" i="22"/>
  <c r="CM29" i="22"/>
  <c r="CL29" i="22"/>
  <c r="CK29" i="22"/>
  <c r="CM28" i="22"/>
  <c r="CL28" i="22"/>
  <c r="CK28" i="22"/>
  <c r="CM27" i="22"/>
  <c r="CL27" i="22"/>
  <c r="CK27" i="22"/>
  <c r="CM26" i="22"/>
  <c r="CL26" i="22"/>
  <c r="CK26" i="22"/>
  <c r="CM25" i="22"/>
  <c r="CL25" i="22"/>
  <c r="CK25" i="22"/>
  <c r="CM24" i="22"/>
  <c r="CL24" i="22"/>
  <c r="CK24" i="22"/>
  <c r="CM23" i="22"/>
  <c r="CL23" i="22"/>
  <c r="CK23" i="22"/>
  <c r="CM22" i="22"/>
  <c r="CL22" i="22"/>
  <c r="CK22" i="22"/>
  <c r="CM21" i="22"/>
  <c r="CK21" i="22"/>
  <c r="CM20" i="22"/>
  <c r="CK20" i="22"/>
  <c r="CM19" i="22"/>
  <c r="CK19" i="22"/>
  <c r="CM18" i="22"/>
  <c r="CK18" i="22"/>
  <c r="CM17" i="22"/>
  <c r="CK17" i="22"/>
  <c r="CM16" i="22"/>
  <c r="CK16" i="22"/>
  <c r="CM15" i="22"/>
  <c r="CK15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S12" i="22" s="1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BV9" i="22"/>
  <c r="BU9" i="22"/>
  <c r="BT9" i="22"/>
  <c r="BS9" i="22"/>
  <c r="BR9" i="22"/>
  <c r="BQ9" i="22"/>
  <c r="BP9" i="22"/>
  <c r="BO9" i="22"/>
  <c r="BN9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T11" i="22" l="1"/>
  <c r="T14" i="22" s="1"/>
  <c r="AJ11" i="22"/>
  <c r="AJ14" i="22" s="1"/>
  <c r="BH11" i="22"/>
  <c r="BH14" i="22" s="1"/>
  <c r="BP11" i="22"/>
  <c r="BP14" i="22" s="1"/>
  <c r="U11" i="22"/>
  <c r="U14" i="22" s="1"/>
  <c r="AC11" i="22"/>
  <c r="AC14" i="22" s="1"/>
  <c r="AK11" i="22"/>
  <c r="AK14" i="22" s="1"/>
  <c r="AS11" i="22"/>
  <c r="AS14" i="22" s="1"/>
  <c r="BA11" i="22"/>
  <c r="BA14" i="22" s="1"/>
  <c r="BI11" i="22"/>
  <c r="BI14" i="22" s="1"/>
  <c r="BQ11" i="22"/>
  <c r="BQ14" i="22" s="1"/>
  <c r="AB11" i="22"/>
  <c r="AB14" i="22" s="1"/>
  <c r="AR11" i="22"/>
  <c r="AR14" i="22" s="1"/>
  <c r="AZ11" i="22"/>
  <c r="AZ14" i="22" s="1"/>
  <c r="Q11" i="22"/>
  <c r="Q14" i="22" s="1"/>
  <c r="Y11" i="22"/>
  <c r="Y14" i="22" s="1"/>
  <c r="AG11" i="22"/>
  <c r="AG14" i="22" s="1"/>
  <c r="AO11" i="22"/>
  <c r="AO14" i="22" s="1"/>
  <c r="AW11" i="22"/>
  <c r="AW14" i="22" s="1"/>
  <c r="BE11" i="22"/>
  <c r="BE14" i="22" s="1"/>
  <c r="BM11" i="22"/>
  <c r="BM14" i="22" s="1"/>
  <c r="BU11" i="22"/>
  <c r="BU14" i="22" s="1"/>
  <c r="R11" i="22"/>
  <c r="R14" i="22" s="1"/>
  <c r="Z11" i="22"/>
  <c r="Z14" i="22" s="1"/>
  <c r="AH11" i="22"/>
  <c r="AH14" i="22" s="1"/>
  <c r="AP11" i="22"/>
  <c r="AP14" i="22" s="1"/>
  <c r="AX11" i="22"/>
  <c r="AX14" i="22" s="1"/>
  <c r="BJ11" i="22"/>
  <c r="BJ14" i="22" s="1"/>
  <c r="BV11" i="22"/>
  <c r="BV14" i="22" s="1"/>
  <c r="V11" i="22"/>
  <c r="V14" i="22" s="1"/>
  <c r="AD11" i="22"/>
  <c r="AD14" i="22" s="1"/>
  <c r="AL11" i="22"/>
  <c r="AL14" i="22" s="1"/>
  <c r="AT11" i="22"/>
  <c r="AT14" i="22" s="1"/>
  <c r="BB11" i="22"/>
  <c r="BB14" i="22" s="1"/>
  <c r="BF11" i="22"/>
  <c r="BF14" i="22" s="1"/>
  <c r="BN11" i="22"/>
  <c r="BN14" i="22" s="1"/>
  <c r="BR11" i="22"/>
  <c r="BR14" i="22" s="1"/>
  <c r="O11" i="22"/>
  <c r="S11" i="22"/>
  <c r="S14" i="22" s="1"/>
  <c r="W11" i="22"/>
  <c r="W14" i="22" s="1"/>
  <c r="AA11" i="22"/>
  <c r="AA14" i="22" s="1"/>
  <c r="AE11" i="22"/>
  <c r="AE14" i="22" s="1"/>
  <c r="AI11" i="22"/>
  <c r="AI14" i="22" s="1"/>
  <c r="AM11" i="22"/>
  <c r="AM14" i="22" s="1"/>
  <c r="AQ11" i="22"/>
  <c r="AQ14" i="22" s="1"/>
  <c r="AU11" i="22"/>
  <c r="AU14" i="22" s="1"/>
  <c r="AY11" i="22"/>
  <c r="AY14" i="22" s="1"/>
  <c r="BC11" i="22"/>
  <c r="BC14" i="22" s="1"/>
  <c r="BG11" i="22"/>
  <c r="BG14" i="22" s="1"/>
  <c r="BK11" i="22"/>
  <c r="BK14" i="22" s="1"/>
  <c r="BO11" i="22"/>
  <c r="BO14" i="22" s="1"/>
  <c r="BS11" i="22"/>
  <c r="BS14" i="22" s="1"/>
  <c r="CN107" i="22"/>
  <c r="CL15" i="22"/>
  <c r="P11" i="22"/>
  <c r="P14" i="22" s="1"/>
  <c r="AF11" i="22"/>
  <c r="AF14" i="22" s="1"/>
  <c r="AV11" i="22"/>
  <c r="AV14" i="22" s="1"/>
  <c r="BL11" i="22"/>
  <c r="BL14" i="22" s="1"/>
  <c r="CN27" i="22"/>
  <c r="CN51" i="22"/>
  <c r="CN67" i="22"/>
  <c r="CN83" i="22"/>
  <c r="CN99" i="22"/>
  <c r="X11" i="22"/>
  <c r="X14" i="22" s="1"/>
  <c r="AN11" i="22"/>
  <c r="AN14" i="22" s="1"/>
  <c r="BD11" i="22"/>
  <c r="BD14" i="22" s="1"/>
  <c r="BT11" i="22"/>
  <c r="BT14" i="22" s="1"/>
  <c r="CN16" i="22"/>
  <c r="CN55" i="22"/>
  <c r="CN71" i="22"/>
  <c r="CN87" i="22"/>
  <c r="CN103" i="22"/>
  <c r="CN43" i="22"/>
  <c r="CN59" i="22"/>
  <c r="CN75" i="22"/>
  <c r="CN91" i="22"/>
  <c r="CN114" i="22"/>
  <c r="CN110" i="22"/>
  <c r="CN106" i="22"/>
  <c r="CN102" i="22"/>
  <c r="CN98" i="22"/>
  <c r="CN94" i="22"/>
  <c r="CN90" i="22"/>
  <c r="CN86" i="22"/>
  <c r="CN82" i="22"/>
  <c r="CN78" i="22"/>
  <c r="CN74" i="22"/>
  <c r="CN70" i="22"/>
  <c r="CN66" i="22"/>
  <c r="CN62" i="22"/>
  <c r="CN58" i="22"/>
  <c r="CN54" i="22"/>
  <c r="CN50" i="22"/>
  <c r="CN46" i="22"/>
  <c r="CN42" i="22"/>
  <c r="CN30" i="22"/>
  <c r="CN28" i="22"/>
  <c r="CN17" i="22"/>
  <c r="CN113" i="22"/>
  <c r="CN109" i="22"/>
  <c r="CN105" i="22"/>
  <c r="CN101" i="22"/>
  <c r="CN97" i="22"/>
  <c r="CN93" i="22"/>
  <c r="CN89" i="22"/>
  <c r="CN85" i="22"/>
  <c r="CN81" i="22"/>
  <c r="CN77" i="22"/>
  <c r="CN73" i="22"/>
  <c r="CN69" i="22"/>
  <c r="CN65" i="22"/>
  <c r="CN61" i="22"/>
  <c r="CN57" i="22"/>
  <c r="CN53" i="22"/>
  <c r="CN49" i="22"/>
  <c r="CN45" i="22"/>
  <c r="CN41" i="22"/>
  <c r="CN31" i="22"/>
  <c r="CN26" i="22"/>
  <c r="CN25" i="22"/>
  <c r="CN24" i="22"/>
  <c r="CN23" i="22"/>
  <c r="CN22" i="22"/>
  <c r="CN21" i="22"/>
  <c r="CN20" i="22"/>
  <c r="CN19" i="22"/>
  <c r="CN18" i="22"/>
  <c r="CN112" i="22"/>
  <c r="CN108" i="22"/>
  <c r="CN104" i="22"/>
  <c r="CN100" i="22"/>
  <c r="CN96" i="22"/>
  <c r="CN92" i="22"/>
  <c r="CN88" i="22"/>
  <c r="CN84" i="22"/>
  <c r="CN80" i="22"/>
  <c r="CN76" i="22"/>
  <c r="CN72" i="22"/>
  <c r="CN68" i="22"/>
  <c r="CN64" i="22"/>
  <c r="CN60" i="22"/>
  <c r="CN56" i="22"/>
  <c r="CN52" i="22"/>
  <c r="CN48" i="22"/>
  <c r="CN44" i="22"/>
  <c r="CN40" i="22"/>
  <c r="CN39" i="22"/>
  <c r="CN38" i="22"/>
  <c r="CN37" i="22"/>
  <c r="CN36" i="22"/>
  <c r="CN35" i="22"/>
  <c r="CN34" i="22"/>
  <c r="CN33" i="22"/>
  <c r="CN32" i="22"/>
  <c r="CN15" i="22"/>
  <c r="CN29" i="22"/>
  <c r="CN47" i="22"/>
  <c r="CN63" i="22"/>
  <c r="CN79" i="22"/>
  <c r="CN95" i="22"/>
  <c r="CN111" i="22"/>
  <c r="CT29" i="22" l="1"/>
  <c r="CR17" i="22"/>
  <c r="CR21" i="22"/>
  <c r="CR15" i="22"/>
  <c r="CR18" i="22"/>
  <c r="CR22" i="22"/>
  <c r="CR19" i="22"/>
  <c r="CR23" i="22"/>
  <c r="CR16" i="22"/>
  <c r="CR20" i="22"/>
  <c r="CR24" i="22"/>
  <c r="CT15" i="22"/>
  <c r="CL17" i="22"/>
  <c r="O14" i="22"/>
  <c r="CL16" i="22"/>
  <c r="CL18" i="22"/>
  <c r="CL21" i="22"/>
  <c r="CL20" i="22"/>
  <c r="CL19" i="22"/>
  <c r="CK104" i="24" l="1"/>
  <c r="CK109" i="24"/>
  <c r="CK17" i="24"/>
  <c r="CK108" i="24"/>
  <c r="CK112" i="24"/>
  <c r="CK100" i="24"/>
  <c r="CK64" i="24"/>
  <c r="CK48" i="24"/>
  <c r="CK32" i="24"/>
  <c r="CK16" i="24"/>
  <c r="CK103" i="24"/>
  <c r="CK83" i="24"/>
  <c r="CK67" i="24"/>
  <c r="CK51" i="24"/>
  <c r="CK35" i="24"/>
  <c r="CK19" i="24"/>
  <c r="CK107" i="24"/>
  <c r="CK102" i="24"/>
  <c r="CK86" i="24"/>
  <c r="CK70" i="24"/>
  <c r="CK54" i="24"/>
  <c r="CK38" i="24"/>
  <c r="CK22" i="24"/>
  <c r="CK13" i="24"/>
  <c r="CK93" i="24"/>
  <c r="CK77" i="24"/>
  <c r="CK61" i="24"/>
  <c r="CK45" i="24"/>
  <c r="CK29" i="24"/>
  <c r="CK55" i="24"/>
  <c r="CK106" i="24"/>
  <c r="CK26" i="24"/>
  <c r="CK65" i="24"/>
  <c r="CK84" i="24"/>
  <c r="CK60" i="24"/>
  <c r="CK44" i="24"/>
  <c r="CK28" i="24"/>
  <c r="CK96" i="24"/>
  <c r="CK95" i="24"/>
  <c r="CK79" i="24"/>
  <c r="CK63" i="24"/>
  <c r="CK47" i="24"/>
  <c r="CK31" i="24"/>
  <c r="CK15" i="24"/>
  <c r="CK99" i="24"/>
  <c r="CK98" i="24"/>
  <c r="CK82" i="24"/>
  <c r="CK66" i="24"/>
  <c r="CK50" i="24"/>
  <c r="CK34" i="24"/>
  <c r="CK18" i="24"/>
  <c r="CK105" i="24"/>
  <c r="CK89" i="24"/>
  <c r="CK73" i="24"/>
  <c r="CK57" i="24"/>
  <c r="CK41" i="24"/>
  <c r="CK25" i="24"/>
  <c r="CK87" i="24"/>
  <c r="CK23" i="24"/>
  <c r="CK74" i="24"/>
  <c r="CK92" i="24"/>
  <c r="CK49" i="24"/>
  <c r="CK76" i="24"/>
  <c r="CK56" i="24"/>
  <c r="CK40" i="24"/>
  <c r="CK24" i="24"/>
  <c r="CK80" i="24"/>
  <c r="CK91" i="24"/>
  <c r="CK75" i="24"/>
  <c r="CK59" i="24"/>
  <c r="CK43" i="24"/>
  <c r="CK27" i="24"/>
  <c r="CK88" i="24"/>
  <c r="CK110" i="24"/>
  <c r="CK94" i="24"/>
  <c r="CK78" i="24"/>
  <c r="CK62" i="24"/>
  <c r="CK46" i="24"/>
  <c r="CK30" i="24"/>
  <c r="CK14" i="24"/>
  <c r="CK101" i="24"/>
  <c r="CK85" i="24"/>
  <c r="CK69" i="24"/>
  <c r="CK53" i="24"/>
  <c r="CK37" i="24"/>
  <c r="CK21" i="24"/>
  <c r="CK71" i="24"/>
  <c r="CK72" i="24"/>
  <c r="CK58" i="24"/>
  <c r="CK97" i="24"/>
  <c r="CK33" i="24"/>
  <c r="CK68" i="24"/>
  <c r="CK52" i="24"/>
  <c r="CK36" i="24"/>
  <c r="CK20" i="24"/>
  <c r="CK111" i="24"/>
  <c r="CK39" i="24"/>
  <c r="CK90" i="24"/>
  <c r="CK42" i="24"/>
  <c r="CK81" i="24"/>
  <c r="CN27" i="24"/>
  <c r="CP27" i="24" s="1"/>
  <c r="CU29" i="22"/>
  <c r="CU15" i="22"/>
  <c r="CN13" i="24"/>
  <c r="CO13" i="24" l="1"/>
  <c r="CO27" i="24"/>
  <c r="CK13" i="16"/>
  <c r="CM13" i="16"/>
  <c r="CN13" i="16" s="1"/>
  <c r="CM15" i="16" l="1"/>
  <c r="CM14" i="16"/>
  <c r="D5" i="17"/>
  <c r="F4" i="17"/>
  <c r="C4" i="17"/>
  <c r="CM29" i="16"/>
  <c r="CM30" i="16"/>
  <c r="CM31" i="16"/>
  <c r="CM32" i="16"/>
  <c r="CM33" i="16"/>
  <c r="CM34" i="16"/>
  <c r="CM35" i="16"/>
  <c r="CM36" i="16"/>
  <c r="CM37" i="16"/>
  <c r="CM38" i="16"/>
  <c r="CM39" i="16"/>
  <c r="CM40" i="16"/>
  <c r="CM41" i="16"/>
  <c r="CM42" i="16"/>
  <c r="CM43" i="16"/>
  <c r="CM44" i="16"/>
  <c r="CM45" i="16"/>
  <c r="CM46" i="16"/>
  <c r="CM47" i="16"/>
  <c r="CM48" i="16"/>
  <c r="CM49" i="16"/>
  <c r="CM50" i="16"/>
  <c r="CM51" i="16"/>
  <c r="CM52" i="16"/>
  <c r="CM53" i="16"/>
  <c r="CM54" i="16"/>
  <c r="CM55" i="16"/>
  <c r="CM56" i="16"/>
  <c r="CM57" i="16"/>
  <c r="CM58" i="16"/>
  <c r="CM59" i="16"/>
  <c r="CM60" i="16"/>
  <c r="CM61" i="16"/>
  <c r="CM62" i="16"/>
  <c r="CM63" i="16"/>
  <c r="CM64" i="16"/>
  <c r="CM65" i="16"/>
  <c r="CM66" i="16"/>
  <c r="CM67" i="16"/>
  <c r="CM68" i="16"/>
  <c r="CM69" i="16"/>
  <c r="CM70" i="16"/>
  <c r="CM71" i="16"/>
  <c r="CM72" i="16"/>
  <c r="CM73" i="16"/>
  <c r="CM74" i="16"/>
  <c r="CM75" i="16"/>
  <c r="CM76" i="16"/>
  <c r="CM77" i="16"/>
  <c r="CM78" i="16"/>
  <c r="CM79" i="16"/>
  <c r="CM80" i="16"/>
  <c r="CM81" i="16"/>
  <c r="CM82" i="16"/>
  <c r="CM83" i="16"/>
  <c r="CM84" i="16"/>
  <c r="CM85" i="16"/>
  <c r="CM86" i="16"/>
  <c r="CM87" i="16"/>
  <c r="CM88" i="16"/>
  <c r="CM89" i="16"/>
  <c r="CM90" i="16"/>
  <c r="CM91" i="16"/>
  <c r="CM92" i="16"/>
  <c r="CM93" i="16"/>
  <c r="CM94" i="16"/>
  <c r="CM95" i="16"/>
  <c r="CM96" i="16"/>
  <c r="CM97" i="16"/>
  <c r="CM98" i="16"/>
  <c r="CM99" i="16"/>
  <c r="CM100" i="16"/>
  <c r="CM101" i="16"/>
  <c r="CM102" i="16"/>
  <c r="CM103" i="16"/>
  <c r="CM104" i="16"/>
  <c r="CM105" i="16"/>
  <c r="CM106" i="16"/>
  <c r="CM107" i="16"/>
  <c r="CM108" i="16"/>
  <c r="CM109" i="16"/>
  <c r="CM110" i="16"/>
  <c r="CM111" i="16"/>
  <c r="CM112" i="16"/>
  <c r="CM16" i="16"/>
  <c r="CM17" i="16"/>
  <c r="CM18" i="16"/>
  <c r="CM19" i="16"/>
  <c r="CM20" i="16"/>
  <c r="CM21" i="16"/>
  <c r="CM22" i="16"/>
  <c r="CM23" i="16"/>
  <c r="CM24" i="16"/>
  <c r="CM25" i="16"/>
  <c r="CM26" i="16"/>
  <c r="CM27" i="16"/>
  <c r="CM28" i="16"/>
  <c r="CT26" i="17" l="1"/>
  <c r="CR27" i="17"/>
  <c r="CT27" i="17"/>
  <c r="CS26" i="17"/>
  <c r="CR25" i="17"/>
  <c r="CN25" i="17"/>
  <c r="CS13" i="17"/>
  <c r="CS12" i="17"/>
  <c r="CR11" i="17"/>
  <c r="CT12" i="17"/>
  <c r="CT13" i="17"/>
  <c r="CR13" i="17"/>
  <c r="CP12" i="17"/>
  <c r="CN11" i="17"/>
  <c r="CO12" i="17"/>
  <c r="BV11" i="17"/>
  <c r="BV10" i="17" s="1"/>
  <c r="BR11" i="17"/>
  <c r="BR10" i="17" s="1"/>
  <c r="BN11" i="17"/>
  <c r="BN10" i="17" s="1"/>
  <c r="BJ11" i="17"/>
  <c r="BJ10" i="17" s="1"/>
  <c r="BF11" i="17"/>
  <c r="BF10" i="17" s="1"/>
  <c r="BB11" i="17"/>
  <c r="BB10" i="17" s="1"/>
  <c r="AX11" i="17"/>
  <c r="AX10" i="17" s="1"/>
  <c r="AT11" i="17"/>
  <c r="AP11" i="17"/>
  <c r="AP10" i="17" s="1"/>
  <c r="AL11" i="17"/>
  <c r="AL10" i="17" s="1"/>
  <c r="AH11" i="17"/>
  <c r="AH10" i="17" s="1"/>
  <c r="AD11" i="17"/>
  <c r="AD10" i="17" s="1"/>
  <c r="Z11" i="17"/>
  <c r="Z10" i="17" s="1"/>
  <c r="V11" i="17"/>
  <c r="V10" i="17" s="1"/>
  <c r="R11" i="17"/>
  <c r="R10" i="17" s="1"/>
  <c r="BS11" i="17"/>
  <c r="BS10" i="17" s="1"/>
  <c r="BK11" i="17"/>
  <c r="BK10" i="17" s="1"/>
  <c r="AY11" i="17"/>
  <c r="AY10" i="17" s="1"/>
  <c r="AM11" i="17"/>
  <c r="AM10" i="17" s="1"/>
  <c r="AA11" i="17"/>
  <c r="AA10" i="17" s="1"/>
  <c r="S11" i="17"/>
  <c r="S10" i="17" s="1"/>
  <c r="BU11" i="17"/>
  <c r="BU10" i="17" s="1"/>
  <c r="BQ11" i="17"/>
  <c r="BQ10" i="17" s="1"/>
  <c r="BM11" i="17"/>
  <c r="BI11" i="17"/>
  <c r="BI10" i="17" s="1"/>
  <c r="BE11" i="17"/>
  <c r="BE10" i="17" s="1"/>
  <c r="BA11" i="17"/>
  <c r="BA10" i="17" s="1"/>
  <c r="AW11" i="17"/>
  <c r="AW10" i="17" s="1"/>
  <c r="AS11" i="17"/>
  <c r="AO11" i="17"/>
  <c r="AO10" i="17" s="1"/>
  <c r="AK11" i="17"/>
  <c r="AK10" i="17" s="1"/>
  <c r="AG11" i="17"/>
  <c r="AG10" i="17" s="1"/>
  <c r="AC11" i="17"/>
  <c r="AC10" i="17" s="1"/>
  <c r="Y11" i="17"/>
  <c r="Y10" i="17" s="1"/>
  <c r="U11" i="17"/>
  <c r="U10" i="17" s="1"/>
  <c r="Q11" i="17"/>
  <c r="Q10" i="17" s="1"/>
  <c r="O10" i="17"/>
  <c r="BG11" i="17"/>
  <c r="BG10" i="17" s="1"/>
  <c r="AU11" i="17"/>
  <c r="AU10" i="17" s="1"/>
  <c r="AI11" i="17"/>
  <c r="W11" i="17"/>
  <c r="W10" i="17" s="1"/>
  <c r="O11" i="17"/>
  <c r="BT11" i="17"/>
  <c r="BT10" i="17" s="1"/>
  <c r="BP11" i="17"/>
  <c r="BP10" i="17" s="1"/>
  <c r="BL11" i="17"/>
  <c r="BL10" i="17" s="1"/>
  <c r="BH11" i="17"/>
  <c r="BH10" i="17" s="1"/>
  <c r="BD11" i="17"/>
  <c r="BD10" i="17" s="1"/>
  <c r="AZ11" i="17"/>
  <c r="AZ10" i="17" s="1"/>
  <c r="AV11" i="17"/>
  <c r="AV10" i="17" s="1"/>
  <c r="AR11" i="17"/>
  <c r="AR10" i="17" s="1"/>
  <c r="AN11" i="17"/>
  <c r="AN10" i="17" s="1"/>
  <c r="AJ11" i="17"/>
  <c r="AJ10" i="17" s="1"/>
  <c r="AF11" i="17"/>
  <c r="AF10" i="17" s="1"/>
  <c r="AB11" i="17"/>
  <c r="AB10" i="17" s="1"/>
  <c r="X11" i="17"/>
  <c r="X10" i="17" s="1"/>
  <c r="T11" i="17"/>
  <c r="T10" i="17" s="1"/>
  <c r="P11" i="17"/>
  <c r="P10" i="17" s="1"/>
  <c r="BO11" i="17"/>
  <c r="BO10" i="17" s="1"/>
  <c r="BC11" i="17"/>
  <c r="BC10" i="17" s="1"/>
  <c r="AQ11" i="17"/>
  <c r="AQ10" i="17" s="1"/>
  <c r="AE11" i="17"/>
  <c r="AE10" i="17" s="1"/>
  <c r="CN14" i="16"/>
  <c r="CN112" i="16"/>
  <c r="CN108" i="16"/>
  <c r="CN104" i="16"/>
  <c r="CN100" i="16"/>
  <c r="CN96" i="16"/>
  <c r="CN92" i="16"/>
  <c r="CN88" i="16"/>
  <c r="CN84" i="16"/>
  <c r="CN80" i="16"/>
  <c r="CN76" i="16"/>
  <c r="CN72" i="16"/>
  <c r="CN68" i="16"/>
  <c r="CN64" i="16"/>
  <c r="CN60" i="16"/>
  <c r="CN56" i="16"/>
  <c r="CN52" i="16"/>
  <c r="CN48" i="16"/>
  <c r="CN44" i="16"/>
  <c r="CN40" i="16"/>
  <c r="CN36" i="16"/>
  <c r="CN32" i="16"/>
  <c r="CN28" i="16"/>
  <c r="CN24" i="16"/>
  <c r="CN20" i="16"/>
  <c r="CN16" i="16"/>
  <c r="CN109" i="16"/>
  <c r="CN105" i="16"/>
  <c r="CN101" i="16"/>
  <c r="CN97" i="16"/>
  <c r="CN93" i="16"/>
  <c r="CN89" i="16"/>
  <c r="CN85" i="16"/>
  <c r="CN81" i="16"/>
  <c r="CN77" i="16"/>
  <c r="CN73" i="16"/>
  <c r="CN69" i="16"/>
  <c r="CN65" i="16"/>
  <c r="CN61" i="16"/>
  <c r="CN57" i="16"/>
  <c r="CN53" i="16"/>
  <c r="CN49" i="16"/>
  <c r="CN45" i="16"/>
  <c r="CN41" i="16"/>
  <c r="CN37" i="16"/>
  <c r="CN33" i="16"/>
  <c r="CN29" i="16"/>
  <c r="CN25" i="16"/>
  <c r="CN21" i="16"/>
  <c r="CN17" i="16"/>
  <c r="CN111" i="16"/>
  <c r="CN107" i="16"/>
  <c r="CN103" i="16"/>
  <c r="CN99" i="16"/>
  <c r="CN95" i="16"/>
  <c r="CN91" i="16"/>
  <c r="CN87" i="16"/>
  <c r="CN83" i="16"/>
  <c r="CN79" i="16"/>
  <c r="CN75" i="16"/>
  <c r="CN71" i="16"/>
  <c r="CN67" i="16"/>
  <c r="CN63" i="16"/>
  <c r="CN59" i="16"/>
  <c r="CN55" i="16"/>
  <c r="CN51" i="16"/>
  <c r="CN47" i="16"/>
  <c r="CN43" i="16"/>
  <c r="CN39" i="16"/>
  <c r="CN35" i="16"/>
  <c r="CN31" i="16"/>
  <c r="CN27" i="16"/>
  <c r="CN23" i="16"/>
  <c r="CN19" i="16"/>
  <c r="CN15" i="16"/>
  <c r="CN110" i="16"/>
  <c r="CN106" i="16"/>
  <c r="CN102" i="16"/>
  <c r="CN98" i="16"/>
  <c r="CN94" i="16"/>
  <c r="CN90" i="16"/>
  <c r="CN86" i="16"/>
  <c r="CN82" i="16"/>
  <c r="CN78" i="16"/>
  <c r="CN74" i="16"/>
  <c r="CN70" i="16"/>
  <c r="CN66" i="16"/>
  <c r="CN62" i="16"/>
  <c r="CN58" i="16"/>
  <c r="CN54" i="16"/>
  <c r="CN50" i="16"/>
  <c r="CN46" i="16"/>
  <c r="CN42" i="16"/>
  <c r="CN38" i="16"/>
  <c r="CN34" i="16"/>
  <c r="CN30" i="16"/>
  <c r="CN26" i="16"/>
  <c r="CN22" i="16"/>
  <c r="CN18" i="16"/>
  <c r="BV8" i="16"/>
  <c r="BU8" i="16"/>
  <c r="BT8" i="16"/>
  <c r="BS8" i="16"/>
  <c r="BR8" i="16"/>
  <c r="BQ8" i="16"/>
  <c r="BP8" i="16"/>
  <c r="BO8" i="16"/>
  <c r="BN8" i="16"/>
  <c r="BM8" i="16"/>
  <c r="BM10" i="16" s="1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T10" i="16" s="1"/>
  <c r="AS8" i="16"/>
  <c r="AS10" i="16" s="1"/>
  <c r="AR8" i="16"/>
  <c r="AQ8" i="16"/>
  <c r="AP8" i="16"/>
  <c r="AO8" i="16"/>
  <c r="AN8" i="16"/>
  <c r="AM8" i="16"/>
  <c r="AL8" i="16"/>
  <c r="AK8" i="16"/>
  <c r="AJ8" i="16"/>
  <c r="AI8" i="16"/>
  <c r="AI10" i="16" s="1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CR13" i="16" l="1"/>
  <c r="CR16" i="16"/>
  <c r="CR20" i="16"/>
  <c r="CR17" i="16"/>
  <c r="CR21" i="16"/>
  <c r="CR15" i="16"/>
  <c r="CR19" i="16"/>
  <c r="CR14" i="16"/>
  <c r="CR18" i="16"/>
  <c r="CR22" i="16"/>
  <c r="CL11" i="24"/>
  <c r="CL11" i="17"/>
  <c r="O9" i="16"/>
  <c r="O12" i="16" s="1"/>
  <c r="CK13" i="17" l="1"/>
  <c r="CK19" i="17"/>
  <c r="CK23" i="17"/>
  <c r="CK27" i="17"/>
  <c r="CK31" i="17"/>
  <c r="CK35" i="17"/>
  <c r="CK39" i="17"/>
  <c r="CK43" i="17"/>
  <c r="CK47" i="17"/>
  <c r="CK51" i="17"/>
  <c r="CK55" i="17"/>
  <c r="CK59" i="17"/>
  <c r="CK63" i="17"/>
  <c r="CK67" i="17"/>
  <c r="CK71" i="17"/>
  <c r="CK75" i="17"/>
  <c r="CK79" i="17"/>
  <c r="CK83" i="17"/>
  <c r="CK87" i="17"/>
  <c r="CK91" i="17"/>
  <c r="CK95" i="17"/>
  <c r="CK99" i="17"/>
  <c r="CK103" i="17"/>
  <c r="CK107" i="17"/>
  <c r="CK111" i="17"/>
  <c r="CK26" i="17"/>
  <c r="CK38" i="17"/>
  <c r="CK50" i="17"/>
  <c r="CK62" i="17"/>
  <c r="CK74" i="17"/>
  <c r="CK86" i="17"/>
  <c r="CK98" i="17"/>
  <c r="CK110" i="17"/>
  <c r="CK16" i="17"/>
  <c r="CK20" i="17"/>
  <c r="CK24" i="17"/>
  <c r="CK28" i="17"/>
  <c r="CK32" i="17"/>
  <c r="CK36" i="17"/>
  <c r="CK40" i="17"/>
  <c r="CK44" i="17"/>
  <c r="CK48" i="17"/>
  <c r="CK52" i="17"/>
  <c r="CK56" i="17"/>
  <c r="CK60" i="17"/>
  <c r="CK64" i="17"/>
  <c r="CK68" i="17"/>
  <c r="CK72" i="17"/>
  <c r="CK76" i="17"/>
  <c r="CK80" i="17"/>
  <c r="CK84" i="17"/>
  <c r="CK88" i="17"/>
  <c r="CK92" i="17"/>
  <c r="CK96" i="17"/>
  <c r="CK100" i="17"/>
  <c r="CK104" i="17"/>
  <c r="CK108" i="17"/>
  <c r="CK112" i="17"/>
  <c r="CK18" i="17"/>
  <c r="CK34" i="17"/>
  <c r="CK42" i="17"/>
  <c r="CK54" i="17"/>
  <c r="CK66" i="17"/>
  <c r="CK78" i="17"/>
  <c r="CK90" i="17"/>
  <c r="CK102" i="17"/>
  <c r="CK17" i="17"/>
  <c r="CK21" i="17"/>
  <c r="CK25" i="17"/>
  <c r="CK29" i="17"/>
  <c r="CK33" i="17"/>
  <c r="CK37" i="17"/>
  <c r="CK41" i="17"/>
  <c r="CK45" i="17"/>
  <c r="CK49" i="17"/>
  <c r="CK53" i="17"/>
  <c r="CK57" i="17"/>
  <c r="CK61" i="17"/>
  <c r="CK65" i="17"/>
  <c r="CK69" i="17"/>
  <c r="CK73" i="17"/>
  <c r="CK77" i="17"/>
  <c r="CK81" i="17"/>
  <c r="CK85" i="17"/>
  <c r="CK89" i="17"/>
  <c r="CK93" i="17"/>
  <c r="CK97" i="17"/>
  <c r="CK101" i="17"/>
  <c r="CK105" i="17"/>
  <c r="CK109" i="17"/>
  <c r="CK22" i="17"/>
  <c r="CK30" i="17"/>
  <c r="CK46" i="17"/>
  <c r="CK58" i="17"/>
  <c r="CK70" i="17"/>
  <c r="CK82" i="17"/>
  <c r="CK94" i="17"/>
  <c r="CK106" i="17"/>
  <c r="CK14" i="17"/>
  <c r="CK15" i="17"/>
  <c r="CP13" i="24"/>
  <c r="C8" i="20"/>
  <c r="C2" i="20"/>
  <c r="C15" i="20" s="1"/>
  <c r="C14" i="20"/>
  <c r="CL14" i="16"/>
  <c r="CV15" i="22" l="1"/>
  <c r="CV25" i="22" s="1"/>
  <c r="C3" i="20"/>
  <c r="C16" i="20"/>
  <c r="C17" i="20" s="1"/>
  <c r="CL19" i="24"/>
  <c r="CL25" i="24"/>
  <c r="CL86" i="24"/>
  <c r="CL43" i="24"/>
  <c r="CL57" i="24"/>
  <c r="CL40" i="24"/>
  <c r="CL102" i="24"/>
  <c r="CL49" i="24"/>
  <c r="CL42" i="24"/>
  <c r="CL106" i="24"/>
  <c r="CL95" i="24"/>
  <c r="CL76" i="24"/>
  <c r="CL53" i="24"/>
  <c r="CL22" i="24"/>
  <c r="CL46" i="24"/>
  <c r="CL110" i="24"/>
  <c r="CL99" i="24"/>
  <c r="CL80" i="24"/>
  <c r="CL45" i="24"/>
  <c r="CL29" i="24"/>
  <c r="CL65" i="24"/>
  <c r="CL33" i="24"/>
  <c r="CL82" i="24"/>
  <c r="CL71" i="24"/>
  <c r="CL52" i="24"/>
  <c r="CL101" i="24"/>
  <c r="CL17" i="24"/>
  <c r="CL90" i="24"/>
  <c r="CL85" i="24"/>
  <c r="CL94" i="24"/>
  <c r="CL64" i="24"/>
  <c r="CL97" i="24"/>
  <c r="CL66" i="24"/>
  <c r="CL28" i="24"/>
  <c r="CL56" i="24"/>
  <c r="CL34" i="24"/>
  <c r="CL16" i="24"/>
  <c r="CL107" i="24"/>
  <c r="CL30" i="24"/>
  <c r="CL104" i="24"/>
  <c r="CL91" i="24"/>
  <c r="CL109" i="24"/>
  <c r="CL24" i="24"/>
  <c r="CL58" i="24"/>
  <c r="CL47" i="24"/>
  <c r="CL111" i="24"/>
  <c r="CL92" i="24"/>
  <c r="CL105" i="24"/>
  <c r="CL15" i="24"/>
  <c r="CL62" i="24"/>
  <c r="CL51" i="24"/>
  <c r="CL26" i="24"/>
  <c r="CL96" i="24"/>
  <c r="CL14" i="24"/>
  <c r="CL27" i="24"/>
  <c r="CL37" i="24"/>
  <c r="CL98" i="24"/>
  <c r="CL87" i="24"/>
  <c r="CL68" i="24"/>
  <c r="CL69" i="24"/>
  <c r="CL20" i="24"/>
  <c r="CL50" i="24"/>
  <c r="CL39" i="24"/>
  <c r="CL103" i="24"/>
  <c r="CL84" i="24"/>
  <c r="CL54" i="24"/>
  <c r="CL21" i="24"/>
  <c r="CL38" i="24"/>
  <c r="CL81" i="24"/>
  <c r="CL79" i="24"/>
  <c r="CL36" i="24"/>
  <c r="CL77" i="24"/>
  <c r="CL13" i="24"/>
  <c r="CL55" i="24"/>
  <c r="CL100" i="24"/>
  <c r="CL75" i="24"/>
  <c r="CL93" i="24"/>
  <c r="CL89" i="24"/>
  <c r="CL88" i="24"/>
  <c r="CL70" i="24"/>
  <c r="CL18" i="24"/>
  <c r="CL72" i="24"/>
  <c r="CL31" i="24"/>
  <c r="CL74" i="24"/>
  <c r="CL63" i="24"/>
  <c r="CL44" i="24"/>
  <c r="CL108" i="24"/>
  <c r="CL73" i="24"/>
  <c r="CL32" i="24"/>
  <c r="CL78" i="24"/>
  <c r="CL67" i="24"/>
  <c r="CL48" i="24"/>
  <c r="CL112" i="24"/>
  <c r="CL23" i="24"/>
  <c r="CL61" i="24"/>
  <c r="CL59" i="24"/>
  <c r="CL35" i="24"/>
  <c r="CL60" i="24"/>
  <c r="CL41" i="24"/>
  <c r="CL83" i="24"/>
  <c r="CL17" i="17"/>
  <c r="CL21" i="17"/>
  <c r="CL25" i="17"/>
  <c r="CL29" i="17"/>
  <c r="CL33" i="17"/>
  <c r="CL37" i="17"/>
  <c r="CL41" i="17"/>
  <c r="CL45" i="17"/>
  <c r="CL49" i="17"/>
  <c r="CL53" i="17"/>
  <c r="CL57" i="17"/>
  <c r="CL61" i="17"/>
  <c r="CL65" i="17"/>
  <c r="CL69" i="17"/>
  <c r="CL73" i="17"/>
  <c r="CL77" i="17"/>
  <c r="CL81" i="17"/>
  <c r="CL85" i="17"/>
  <c r="CL89" i="17"/>
  <c r="CL93" i="17"/>
  <c r="CL97" i="17"/>
  <c r="CL101" i="17"/>
  <c r="CL105" i="17"/>
  <c r="CL109" i="17"/>
  <c r="CL14" i="17"/>
  <c r="CL16" i="17"/>
  <c r="CL20" i="17"/>
  <c r="CL24" i="17"/>
  <c r="CL28" i="17"/>
  <c r="CL32" i="17"/>
  <c r="CL36" i="17"/>
  <c r="CL40" i="17"/>
  <c r="CL44" i="17"/>
  <c r="CL48" i="17"/>
  <c r="CL52" i="17"/>
  <c r="CL56" i="17"/>
  <c r="CL64" i="17"/>
  <c r="CL68" i="17"/>
  <c r="CL76" i="17"/>
  <c r="CL84" i="17"/>
  <c r="CL96" i="17"/>
  <c r="CL112" i="17"/>
  <c r="CL18" i="17"/>
  <c r="CL22" i="17"/>
  <c r="CL26" i="17"/>
  <c r="CL30" i="17"/>
  <c r="CL34" i="17"/>
  <c r="CL38" i="17"/>
  <c r="CL42" i="17"/>
  <c r="CL46" i="17"/>
  <c r="CL50" i="17"/>
  <c r="CL54" i="17"/>
  <c r="CL58" i="17"/>
  <c r="CL62" i="17"/>
  <c r="CL66" i="17"/>
  <c r="CL70" i="17"/>
  <c r="CL74" i="17"/>
  <c r="CL78" i="17"/>
  <c r="CL82" i="17"/>
  <c r="CL86" i="17"/>
  <c r="CL90" i="17"/>
  <c r="CL94" i="17"/>
  <c r="CL98" i="17"/>
  <c r="CL102" i="17"/>
  <c r="CL106" i="17"/>
  <c r="CL110" i="17"/>
  <c r="CL13" i="17"/>
  <c r="CL87" i="17"/>
  <c r="CL99" i="17"/>
  <c r="CL107" i="17"/>
  <c r="CL72" i="17"/>
  <c r="CL92" i="17"/>
  <c r="CL108" i="17"/>
  <c r="CL15" i="17"/>
  <c r="CL19" i="17"/>
  <c r="CL23" i="17"/>
  <c r="CL27" i="17"/>
  <c r="CL31" i="17"/>
  <c r="CL35" i="17"/>
  <c r="CL39" i="17"/>
  <c r="CL43" i="17"/>
  <c r="CL47" i="17"/>
  <c r="CL51" i="17"/>
  <c r="CL55" i="17"/>
  <c r="CL59" i="17"/>
  <c r="CL63" i="17"/>
  <c r="CL67" i="17"/>
  <c r="CL71" i="17"/>
  <c r="CL75" i="17"/>
  <c r="CL79" i="17"/>
  <c r="CL83" i="17"/>
  <c r="CL91" i="17"/>
  <c r="CL95" i="17"/>
  <c r="CL103" i="17"/>
  <c r="CL111" i="17"/>
  <c r="CL60" i="17"/>
  <c r="CL80" i="17"/>
  <c r="CL88" i="17"/>
  <c r="CL100" i="17"/>
  <c r="CL104" i="17"/>
  <c r="CJ34" i="17"/>
  <c r="CJ35" i="17"/>
  <c r="CJ36" i="17"/>
  <c r="CJ37" i="17"/>
  <c r="CJ38" i="17"/>
  <c r="CJ39" i="17"/>
  <c r="CJ40" i="17"/>
  <c r="CJ41" i="17"/>
  <c r="CJ42" i="17"/>
  <c r="CJ43" i="17"/>
  <c r="CJ44" i="17"/>
  <c r="CJ45" i="17"/>
  <c r="CJ46" i="17"/>
  <c r="CJ47" i="17"/>
  <c r="CJ48" i="17"/>
  <c r="CJ49" i="17"/>
  <c r="CJ50" i="17"/>
  <c r="CJ51" i="17"/>
  <c r="CJ52" i="17"/>
  <c r="CJ53" i="17"/>
  <c r="CJ54" i="17"/>
  <c r="CJ55" i="17"/>
  <c r="CJ56" i="17"/>
  <c r="CJ57" i="17"/>
  <c r="CJ58" i="17"/>
  <c r="CJ59" i="17"/>
  <c r="CJ60" i="17"/>
  <c r="CJ61" i="17"/>
  <c r="CJ62" i="17"/>
  <c r="CJ63" i="17"/>
  <c r="CJ64" i="17"/>
  <c r="CJ65" i="17"/>
  <c r="CJ66" i="17"/>
  <c r="CJ67" i="17"/>
  <c r="CJ68" i="17"/>
  <c r="CJ69" i="17"/>
  <c r="CJ70" i="17"/>
  <c r="CJ71" i="17"/>
  <c r="CJ72" i="17"/>
  <c r="CJ73" i="17"/>
  <c r="CJ74" i="17"/>
  <c r="CJ75" i="17"/>
  <c r="CJ76" i="17"/>
  <c r="CJ77" i="17"/>
  <c r="CJ78" i="17"/>
  <c r="CJ79" i="17"/>
  <c r="CJ80" i="17"/>
  <c r="CJ81" i="17"/>
  <c r="CJ82" i="17"/>
  <c r="CJ83" i="17"/>
  <c r="CJ84" i="17"/>
  <c r="CJ85" i="17"/>
  <c r="CJ86" i="17"/>
  <c r="CJ87" i="17"/>
  <c r="CJ88" i="17"/>
  <c r="CJ89" i="17"/>
  <c r="CJ90" i="17"/>
  <c r="CJ91" i="17"/>
  <c r="CJ92" i="17"/>
  <c r="CJ93" i="17"/>
  <c r="CJ94" i="17"/>
  <c r="CJ95" i="17"/>
  <c r="CJ96" i="17"/>
  <c r="CJ97" i="17"/>
  <c r="CJ98" i="17"/>
  <c r="CJ99" i="17"/>
  <c r="CJ100" i="17"/>
  <c r="CJ101" i="17"/>
  <c r="CJ102" i="17"/>
  <c r="CJ103" i="17"/>
  <c r="CJ104" i="17"/>
  <c r="CJ105" i="17"/>
  <c r="CJ106" i="17"/>
  <c r="CJ107" i="17"/>
  <c r="CJ108" i="17"/>
  <c r="CJ109" i="17"/>
  <c r="CJ110" i="17"/>
  <c r="CJ111" i="17"/>
  <c r="CJ112" i="17"/>
  <c r="CJ16" i="17"/>
  <c r="CJ17" i="17"/>
  <c r="CJ18" i="17"/>
  <c r="CJ19" i="17"/>
  <c r="CJ20" i="17"/>
  <c r="CJ21" i="17"/>
  <c r="CJ22" i="17"/>
  <c r="CJ23" i="17"/>
  <c r="CJ24" i="17"/>
  <c r="CJ25" i="17"/>
  <c r="CJ26" i="17"/>
  <c r="CJ27" i="17"/>
  <c r="CJ28" i="17"/>
  <c r="CJ29" i="17"/>
  <c r="CJ30" i="17"/>
  <c r="CJ31" i="17"/>
  <c r="CJ32" i="17"/>
  <c r="CJ33" i="17"/>
  <c r="CL15" i="16"/>
  <c r="CL20" i="16"/>
  <c r="CL21" i="16"/>
  <c r="CL22" i="16"/>
  <c r="CL23" i="16"/>
  <c r="CL24" i="16"/>
  <c r="CL25" i="16"/>
  <c r="CL26" i="16"/>
  <c r="CL27" i="16"/>
  <c r="CL28" i="16"/>
  <c r="CL29" i="16"/>
  <c r="CL30" i="16"/>
  <c r="CL31" i="16"/>
  <c r="CL32" i="16"/>
  <c r="CL33" i="16"/>
  <c r="CL34" i="16"/>
  <c r="CL35" i="16"/>
  <c r="CL36" i="16"/>
  <c r="CL37" i="16"/>
  <c r="CL38" i="16"/>
  <c r="CL39" i="16"/>
  <c r="CL40" i="16"/>
  <c r="CL41" i="16"/>
  <c r="CL42" i="16"/>
  <c r="CL43" i="16"/>
  <c r="CL44" i="16"/>
  <c r="CL45" i="16"/>
  <c r="CL46" i="16"/>
  <c r="CL47" i="16"/>
  <c r="CL48" i="16"/>
  <c r="CL49" i="16"/>
  <c r="CL50" i="16"/>
  <c r="CL51" i="16"/>
  <c r="CL52" i="16"/>
  <c r="CL53" i="16"/>
  <c r="CL54" i="16"/>
  <c r="CL55" i="16"/>
  <c r="CL56" i="16"/>
  <c r="CL57" i="16"/>
  <c r="CL58" i="16"/>
  <c r="CL59" i="16"/>
  <c r="CL60" i="16"/>
  <c r="CL61" i="16"/>
  <c r="CL62" i="16"/>
  <c r="CL63" i="16"/>
  <c r="CL64" i="16"/>
  <c r="CL65" i="16"/>
  <c r="CL66" i="16"/>
  <c r="CL67" i="16"/>
  <c r="CL68" i="16"/>
  <c r="CL69" i="16"/>
  <c r="CL70" i="16"/>
  <c r="CL71" i="16"/>
  <c r="CL72" i="16"/>
  <c r="CL73" i="16"/>
  <c r="CL74" i="16"/>
  <c r="CL75" i="16"/>
  <c r="CL76" i="16"/>
  <c r="CL77" i="16"/>
  <c r="CL78" i="16"/>
  <c r="CL79" i="16"/>
  <c r="CL80" i="16"/>
  <c r="CL81" i="16"/>
  <c r="CL82" i="16"/>
  <c r="CL83" i="16"/>
  <c r="CL84" i="16"/>
  <c r="CL85" i="16"/>
  <c r="CL86" i="16"/>
  <c r="CL87" i="16"/>
  <c r="CL88" i="16"/>
  <c r="CL89" i="16"/>
  <c r="CL90" i="16"/>
  <c r="CL91" i="16"/>
  <c r="CL92" i="16"/>
  <c r="CL93" i="16"/>
  <c r="CL94" i="16"/>
  <c r="CL95" i="16"/>
  <c r="CL96" i="16"/>
  <c r="CL97" i="16"/>
  <c r="CL98" i="16"/>
  <c r="CL99" i="16"/>
  <c r="CL100" i="16"/>
  <c r="CL101" i="16"/>
  <c r="CL102" i="16"/>
  <c r="CL103" i="16"/>
  <c r="CL104" i="16"/>
  <c r="CL105" i="16"/>
  <c r="CL106" i="16"/>
  <c r="CL107" i="16"/>
  <c r="CL108" i="16"/>
  <c r="CL109" i="16"/>
  <c r="CL110" i="16"/>
  <c r="CL111" i="16"/>
  <c r="CL112" i="16"/>
  <c r="CI61" i="17"/>
  <c r="CI62" i="17"/>
  <c r="CI63" i="17"/>
  <c r="CI64" i="17"/>
  <c r="CI65" i="17"/>
  <c r="CI66" i="17"/>
  <c r="CI67" i="17"/>
  <c r="CI68" i="17"/>
  <c r="CI69" i="17"/>
  <c r="CI70" i="17"/>
  <c r="CI71" i="17"/>
  <c r="CI72" i="17"/>
  <c r="CI73" i="17"/>
  <c r="CI74" i="17"/>
  <c r="CI75" i="17"/>
  <c r="CI76" i="17"/>
  <c r="CI77" i="17"/>
  <c r="CI78" i="17"/>
  <c r="CI79" i="17"/>
  <c r="CI80" i="17"/>
  <c r="CI81" i="17"/>
  <c r="CI82" i="17"/>
  <c r="CI83" i="17"/>
  <c r="CI84" i="17"/>
  <c r="CI85" i="17"/>
  <c r="CI86" i="17"/>
  <c r="CI87" i="17"/>
  <c r="CI88" i="17"/>
  <c r="CI89" i="17"/>
  <c r="CI90" i="17"/>
  <c r="CI91" i="17"/>
  <c r="CI92" i="17"/>
  <c r="CI93" i="17"/>
  <c r="CI94" i="17"/>
  <c r="CI95" i="17"/>
  <c r="CI96" i="17"/>
  <c r="CI97" i="17"/>
  <c r="CI98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4" i="17"/>
  <c r="CI15" i="17"/>
  <c r="CI16" i="17"/>
  <c r="CI17" i="17"/>
  <c r="CI18" i="17"/>
  <c r="CI19" i="17"/>
  <c r="CI20" i="17"/>
  <c r="CI21" i="17"/>
  <c r="CI22" i="17"/>
  <c r="CI23" i="17"/>
  <c r="CI24" i="17"/>
  <c r="CI25" i="17"/>
  <c r="CI26" i="17"/>
  <c r="CI27" i="17"/>
  <c r="CI28" i="17"/>
  <c r="CI29" i="17"/>
  <c r="CI30" i="17"/>
  <c r="CI31" i="17"/>
  <c r="CI32" i="17"/>
  <c r="CI33" i="17"/>
  <c r="CI34" i="17"/>
  <c r="CI35" i="17"/>
  <c r="CI36" i="17"/>
  <c r="CI37" i="17"/>
  <c r="CI38" i="17"/>
  <c r="CI39" i="17"/>
  <c r="CI40" i="17"/>
  <c r="CI41" i="17"/>
  <c r="CI42" i="17"/>
  <c r="CI43" i="17"/>
  <c r="CI44" i="17"/>
  <c r="CI45" i="17"/>
  <c r="CI46" i="17"/>
  <c r="CI47" i="17"/>
  <c r="CI48" i="17"/>
  <c r="CI49" i="17"/>
  <c r="CI50" i="17"/>
  <c r="CI51" i="17"/>
  <c r="CI52" i="17"/>
  <c r="CI53" i="17"/>
  <c r="CI54" i="17"/>
  <c r="CI55" i="17"/>
  <c r="CI56" i="17"/>
  <c r="CI57" i="17"/>
  <c r="CI58" i="17"/>
  <c r="CI59" i="17"/>
  <c r="CI60" i="17"/>
  <c r="CI13" i="17"/>
  <c r="CK14" i="16"/>
  <c r="CK15" i="16"/>
  <c r="CK16" i="16"/>
  <c r="CK17" i="16"/>
  <c r="CK18" i="16"/>
  <c r="CK19" i="16"/>
  <c r="CK20" i="16"/>
  <c r="CK21" i="16"/>
  <c r="CK22" i="16"/>
  <c r="CK23" i="16"/>
  <c r="CK24" i="16"/>
  <c r="CK25" i="16"/>
  <c r="CK26" i="16"/>
  <c r="CK27" i="16"/>
  <c r="CK28" i="16"/>
  <c r="CK29" i="16"/>
  <c r="CK30" i="16"/>
  <c r="CK31" i="16"/>
  <c r="CK32" i="16"/>
  <c r="CK33" i="16"/>
  <c r="CK34" i="16"/>
  <c r="CK35" i="16"/>
  <c r="CK36" i="16"/>
  <c r="CK37" i="16"/>
  <c r="CK38" i="16"/>
  <c r="CK39" i="16"/>
  <c r="CK40" i="16"/>
  <c r="CK41" i="16"/>
  <c r="CK42" i="16"/>
  <c r="CK43" i="16"/>
  <c r="CK44" i="16"/>
  <c r="CK45" i="16"/>
  <c r="CK46" i="16"/>
  <c r="CK47" i="16"/>
  <c r="CK48" i="16"/>
  <c r="CK49" i="16"/>
  <c r="CK50" i="16"/>
  <c r="CK51" i="16"/>
  <c r="CK52" i="16"/>
  <c r="CK53" i="16"/>
  <c r="CK54" i="16"/>
  <c r="CK55" i="16"/>
  <c r="CK56" i="16"/>
  <c r="CK57" i="16"/>
  <c r="CK58" i="16"/>
  <c r="CK59" i="16"/>
  <c r="CK60" i="16"/>
  <c r="CK61" i="16"/>
  <c r="CK62" i="16"/>
  <c r="CK63" i="16"/>
  <c r="CK64" i="16"/>
  <c r="CK65" i="16"/>
  <c r="CK66" i="16"/>
  <c r="CK67" i="16"/>
  <c r="CK68" i="16"/>
  <c r="CK69" i="16"/>
  <c r="CK70" i="16"/>
  <c r="CK71" i="16"/>
  <c r="CK72" i="16"/>
  <c r="CK73" i="16"/>
  <c r="CK74" i="16"/>
  <c r="CK75" i="16"/>
  <c r="CK76" i="16"/>
  <c r="CK77" i="16"/>
  <c r="CK78" i="16"/>
  <c r="CK79" i="16"/>
  <c r="CK80" i="16"/>
  <c r="CK81" i="16"/>
  <c r="CK82" i="16"/>
  <c r="CK83" i="16"/>
  <c r="CK84" i="16"/>
  <c r="CK85" i="16"/>
  <c r="CK86" i="16"/>
  <c r="CK87" i="16"/>
  <c r="CK88" i="16"/>
  <c r="CK89" i="16"/>
  <c r="CK90" i="16"/>
  <c r="CK91" i="16"/>
  <c r="CK92" i="16"/>
  <c r="CK93" i="16"/>
  <c r="CK94" i="16"/>
  <c r="CK95" i="16"/>
  <c r="CK96" i="16"/>
  <c r="CK97" i="16"/>
  <c r="CK98" i="16"/>
  <c r="CK99" i="16"/>
  <c r="CK100" i="16"/>
  <c r="CK101" i="16"/>
  <c r="CK102" i="16"/>
  <c r="CK103" i="16"/>
  <c r="CK104" i="16"/>
  <c r="CK105" i="16"/>
  <c r="CK106" i="16"/>
  <c r="CK107" i="16"/>
  <c r="CK108" i="16"/>
  <c r="CK109" i="16"/>
  <c r="CK110" i="16"/>
  <c r="CK111" i="16"/>
  <c r="CK112" i="16"/>
  <c r="AG9" i="16"/>
  <c r="AG12" i="16" s="1"/>
  <c r="AM9" i="16"/>
  <c r="AM12" i="16" s="1"/>
  <c r="AE9" i="16"/>
  <c r="AE12" i="16" s="1"/>
  <c r="AA9" i="16"/>
  <c r="AA12" i="16" s="1"/>
  <c r="S9" i="16"/>
  <c r="S12" i="16" s="1"/>
  <c r="CT28" i="16" l="1"/>
  <c r="CU28" i="16" s="1"/>
  <c r="CT27" i="16"/>
  <c r="CU27" i="16" s="1"/>
  <c r="CT30" i="22"/>
  <c r="CT31" i="22"/>
  <c r="CT35" i="22"/>
  <c r="CT32" i="22"/>
  <c r="CT36" i="22"/>
  <c r="CT33" i="22"/>
  <c r="CT37" i="22"/>
  <c r="CT34" i="22"/>
  <c r="CT38" i="22"/>
  <c r="CT24" i="22"/>
  <c r="CT23" i="22"/>
  <c r="CT16" i="22"/>
  <c r="CT36" i="16"/>
  <c r="CU36" i="16" s="1"/>
  <c r="CT31" i="16"/>
  <c r="CU31" i="16" s="1"/>
  <c r="CT19" i="22"/>
  <c r="CT21" i="22"/>
  <c r="CT32" i="16"/>
  <c r="CU32" i="16" s="1"/>
  <c r="CT17" i="22"/>
  <c r="CT22" i="22"/>
  <c r="CT34" i="16"/>
  <c r="CU34" i="16" s="1"/>
  <c r="CT29" i="16"/>
  <c r="CU29" i="16" s="1"/>
  <c r="CT30" i="16"/>
  <c r="CU30" i="16" s="1"/>
  <c r="CT18" i="22"/>
  <c r="CT20" i="22"/>
  <c r="CT33" i="16"/>
  <c r="CU33" i="16" s="1"/>
  <c r="CT35" i="16"/>
  <c r="CU35" i="16" s="1"/>
  <c r="CT13" i="16"/>
  <c r="CU13" i="16" s="1"/>
  <c r="CT14" i="16"/>
  <c r="CN14" i="17" s="1"/>
  <c r="CT21" i="16"/>
  <c r="CT15" i="16"/>
  <c r="CT16" i="16"/>
  <c r="CT20" i="16"/>
  <c r="CT17" i="16"/>
  <c r="CT18" i="16"/>
  <c r="CT22" i="16"/>
  <c r="CT19" i="16"/>
  <c r="C5" i="20"/>
  <c r="O2" i="20"/>
  <c r="O16" i="20" s="1"/>
  <c r="O14" i="20"/>
  <c r="O8" i="20"/>
  <c r="U2" i="20"/>
  <c r="U15" i="20" s="1"/>
  <c r="U14" i="20"/>
  <c r="U8" i="20"/>
  <c r="S2" i="20"/>
  <c r="S16" i="20" s="1"/>
  <c r="S14" i="20"/>
  <c r="S8" i="20"/>
  <c r="AA2" i="20"/>
  <c r="AA16" i="20" s="1"/>
  <c r="AA8" i="20"/>
  <c r="AA14" i="20"/>
  <c r="G14" i="20"/>
  <c r="G8" i="20"/>
  <c r="CL13" i="16"/>
  <c r="G2" i="20"/>
  <c r="BG8" i="17"/>
  <c r="AO7" i="17"/>
  <c r="AX7" i="17"/>
  <c r="AO8" i="17"/>
  <c r="U8" i="17"/>
  <c r="AB8" i="17"/>
  <c r="AC7" i="17"/>
  <c r="BK8" i="17"/>
  <c r="O8" i="17"/>
  <c r="AS8" i="17"/>
  <c r="AS10" i="17" s="1"/>
  <c r="BO7" i="17"/>
  <c r="AR8" i="17"/>
  <c r="AV8" i="17"/>
  <c r="AC8" i="17"/>
  <c r="AH8" i="17"/>
  <c r="BU7" i="17"/>
  <c r="BH9" i="16"/>
  <c r="BH12" i="16" s="1"/>
  <c r="AN9" i="16"/>
  <c r="AN12" i="16" s="1"/>
  <c r="BO9" i="16"/>
  <c r="BO12" i="16" s="1"/>
  <c r="BK9" i="16"/>
  <c r="BK12" i="16" s="1"/>
  <c r="T9" i="16"/>
  <c r="T12" i="16" s="1"/>
  <c r="Q9" i="16"/>
  <c r="Q12" i="16" s="1"/>
  <c r="Y9" i="16"/>
  <c r="Y12" i="16" s="1"/>
  <c r="AC9" i="16"/>
  <c r="AC12" i="16" s="1"/>
  <c r="AK9" i="16"/>
  <c r="AK12" i="16" s="1"/>
  <c r="AP9" i="16"/>
  <c r="AP12" i="16" s="1"/>
  <c r="AY9" i="16"/>
  <c r="AY12" i="16" s="1"/>
  <c r="CA3" i="17"/>
  <c r="BQ9" i="16"/>
  <c r="BQ12" i="16" s="1"/>
  <c r="AW9" i="16"/>
  <c r="AW12" i="16" s="1"/>
  <c r="AU9" i="16"/>
  <c r="AU12" i="16" s="1"/>
  <c r="AR9" i="16"/>
  <c r="AR12" i="16" s="1"/>
  <c r="AO9" i="16"/>
  <c r="AO12" i="16" s="1"/>
  <c r="BP9" i="16"/>
  <c r="BP12" i="16" s="1"/>
  <c r="BL9" i="16"/>
  <c r="BL12" i="16" s="1"/>
  <c r="AV9" i="16"/>
  <c r="AV12" i="16" s="1"/>
  <c r="AF9" i="16"/>
  <c r="AF12" i="16" s="1"/>
  <c r="BM9" i="16"/>
  <c r="BM12" i="16" s="1"/>
  <c r="BA9" i="16"/>
  <c r="BA12" i="16" s="1"/>
  <c r="AS9" i="16"/>
  <c r="AS12" i="16" s="1"/>
  <c r="V9" i="16"/>
  <c r="V12" i="16" s="1"/>
  <c r="X9" i="16"/>
  <c r="X12" i="16" s="1"/>
  <c r="AB9" i="16"/>
  <c r="AB12" i="16" s="1"/>
  <c r="AJ9" i="16"/>
  <c r="AJ12" i="16" s="1"/>
  <c r="AZ9" i="16"/>
  <c r="AZ12" i="16" s="1"/>
  <c r="BE9" i="16"/>
  <c r="BE12" i="16" s="1"/>
  <c r="AN8" i="17"/>
  <c r="AS7" i="17"/>
  <c r="R7" i="17"/>
  <c r="BB7" i="17"/>
  <c r="BM7" i="17"/>
  <c r="P7" i="17"/>
  <c r="BG7" i="17"/>
  <c r="O7" i="17"/>
  <c r="BR7" i="17"/>
  <c r="AK8" i="17"/>
  <c r="Y8" i="17"/>
  <c r="BV7" i="17"/>
  <c r="R8" i="17"/>
  <c r="AV7" i="17"/>
  <c r="W7" i="17"/>
  <c r="BQ8" i="17"/>
  <c r="AI8" i="17"/>
  <c r="AI10" i="17" s="1"/>
  <c r="AT7" i="17"/>
  <c r="T7" i="17"/>
  <c r="AD8" i="17"/>
  <c r="BE7" i="17"/>
  <c r="AP7" i="17"/>
  <c r="P8" i="17"/>
  <c r="BD8" i="17"/>
  <c r="BV8" i="17"/>
  <c r="AQ7" i="17"/>
  <c r="BE8" i="17"/>
  <c r="AE8" i="17"/>
  <c r="AH7" i="17"/>
  <c r="BB8" i="17"/>
  <c r="AE7" i="17"/>
  <c r="AD7" i="17"/>
  <c r="AM7" i="17"/>
  <c r="Z8" i="17"/>
  <c r="AW7" i="17"/>
  <c r="Z7" i="17"/>
  <c r="AN7" i="17"/>
  <c r="BS7" i="17"/>
  <c r="AA8" i="17"/>
  <c r="BC8" i="17"/>
  <c r="AB7" i="17"/>
  <c r="AF7" i="17"/>
  <c r="U7" i="17"/>
  <c r="BS8" i="17"/>
  <c r="AK7" i="17"/>
  <c r="BU8" i="17"/>
  <c r="BJ7" i="17"/>
  <c r="AP8" i="17"/>
  <c r="S7" i="17"/>
  <c r="BO8" i="17"/>
  <c r="BC7" i="17"/>
  <c r="BN8" i="17"/>
  <c r="BI7" i="17"/>
  <c r="AW8" i="17"/>
  <c r="W8" i="17"/>
  <c r="AJ8" i="17"/>
  <c r="BF7" i="17"/>
  <c r="BA8" i="17"/>
  <c r="Q7" i="17"/>
  <c r="AX8" i="17"/>
  <c r="AL8" i="17"/>
  <c r="AG8" i="17"/>
  <c r="AZ7" i="17"/>
  <c r="BD7" i="17"/>
  <c r="BL8" i="17"/>
  <c r="BN7" i="17"/>
  <c r="AZ8" i="17"/>
  <c r="AL7" i="17"/>
  <c r="BT7" i="17"/>
  <c r="BA7" i="17"/>
  <c r="BJ8" i="17"/>
  <c r="AU7" i="17"/>
  <c r="Q8" i="17"/>
  <c r="AT8" i="17"/>
  <c r="AT10" i="17" s="1"/>
  <c r="BM8" i="17"/>
  <c r="BM10" i="17" s="1"/>
  <c r="X7" i="17"/>
  <c r="AA7" i="17"/>
  <c r="BF8" i="17"/>
  <c r="BT8" i="17"/>
  <c r="BP7" i="17"/>
  <c r="AR7" i="17"/>
  <c r="S8" i="17"/>
  <c r="T8" i="17"/>
  <c r="AM8" i="17"/>
  <c r="V7" i="17"/>
  <c r="AI7" i="17"/>
  <c r="BL7" i="17"/>
  <c r="AY8" i="17"/>
  <c r="AG7" i="17"/>
  <c r="BR8" i="17"/>
  <c r="AY7" i="17"/>
  <c r="AF8" i="17"/>
  <c r="BK7" i="17"/>
  <c r="BH7" i="17"/>
  <c r="AU8" i="17"/>
  <c r="AJ7" i="17"/>
  <c r="V8" i="17"/>
  <c r="X8" i="17"/>
  <c r="BQ7" i="17"/>
  <c r="BI9" i="16"/>
  <c r="BI12" i="16" s="1"/>
  <c r="BP8" i="17"/>
  <c r="BI8" i="17"/>
  <c r="AQ8" i="17"/>
  <c r="BH8" i="17"/>
  <c r="Y7" i="17"/>
  <c r="BC9" i="16"/>
  <c r="BC12" i="16" s="1"/>
  <c r="AI9" i="16"/>
  <c r="AI12" i="16" s="1"/>
  <c r="BR9" i="16"/>
  <c r="BR12" i="16" s="1"/>
  <c r="AQ9" i="16"/>
  <c r="AQ12" i="16" s="1"/>
  <c r="BT9" i="16"/>
  <c r="BT12" i="16" s="1"/>
  <c r="BD9" i="16"/>
  <c r="BG9" i="16"/>
  <c r="BG12" i="16" s="1"/>
  <c r="BF9" i="16"/>
  <c r="BF12" i="16" s="1"/>
  <c r="AX9" i="16"/>
  <c r="AX12" i="16" s="1"/>
  <c r="AT9" i="16"/>
  <c r="AT12" i="16" s="1"/>
  <c r="BJ9" i="16"/>
  <c r="BJ12" i="16" s="1"/>
  <c r="AH9" i="16"/>
  <c r="AH12" i="16" s="1"/>
  <c r="R9" i="16"/>
  <c r="R12" i="16" s="1"/>
  <c r="U9" i="16"/>
  <c r="U12" i="16" s="1"/>
  <c r="BU9" i="16"/>
  <c r="BU12" i="16" s="1"/>
  <c r="BV9" i="16"/>
  <c r="BV12" i="16" s="1"/>
  <c r="P9" i="16"/>
  <c r="P12" i="16" s="1"/>
  <c r="Z9" i="16"/>
  <c r="Z12" i="16" s="1"/>
  <c r="BN9" i="16"/>
  <c r="BN12" i="16" s="1"/>
  <c r="W9" i="16"/>
  <c r="W12" i="16" s="1"/>
  <c r="AD9" i="16"/>
  <c r="AD12" i="16" s="1"/>
  <c r="AL9" i="16"/>
  <c r="AL12" i="16" s="1"/>
  <c r="BS9" i="16"/>
  <c r="BS12" i="16" s="1"/>
  <c r="BB9" i="16"/>
  <c r="BB12" i="16" s="1"/>
  <c r="CU32" i="22" l="1"/>
  <c r="CO30" i="24" s="1"/>
  <c r="CN30" i="24"/>
  <c r="CP30" i="24" s="1"/>
  <c r="CV32" i="22" s="1"/>
  <c r="CU34" i="22"/>
  <c r="CO32" i="24" s="1"/>
  <c r="CN32" i="24"/>
  <c r="CP32" i="24" s="1"/>
  <c r="CV34" i="22" s="1"/>
  <c r="CU38" i="22"/>
  <c r="CO36" i="24" s="1"/>
  <c r="CN36" i="24"/>
  <c r="CP36" i="24" s="1"/>
  <c r="CV38" i="22" s="1"/>
  <c r="CU30" i="22"/>
  <c r="CN28" i="24"/>
  <c r="CP28" i="24" s="1"/>
  <c r="CV30" i="22" s="1"/>
  <c r="CU37" i="22"/>
  <c r="CO35" i="24" s="1"/>
  <c r="CN35" i="24"/>
  <c r="CP35" i="24" s="1"/>
  <c r="CV37" i="22" s="1"/>
  <c r="CU36" i="22"/>
  <c r="CO34" i="24" s="1"/>
  <c r="CN34" i="24"/>
  <c r="CP34" i="24" s="1"/>
  <c r="CV36" i="22" s="1"/>
  <c r="CU35" i="22"/>
  <c r="CO33" i="24" s="1"/>
  <c r="CN33" i="24"/>
  <c r="CP33" i="24" s="1"/>
  <c r="CV35" i="22" s="1"/>
  <c r="CU33" i="22"/>
  <c r="CO31" i="24" s="1"/>
  <c r="CN31" i="24"/>
  <c r="CP31" i="24" s="1"/>
  <c r="CV33" i="22" s="1"/>
  <c r="CU31" i="22"/>
  <c r="CO29" i="24" s="1"/>
  <c r="CN29" i="24"/>
  <c r="CP29" i="24" s="1"/>
  <c r="CV31" i="22" s="1"/>
  <c r="CU18" i="22"/>
  <c r="CN16" i="24"/>
  <c r="CN20" i="24"/>
  <c r="CU22" i="22"/>
  <c r="CN15" i="24"/>
  <c r="CU17" i="22"/>
  <c r="CU21" i="22"/>
  <c r="CN19" i="24"/>
  <c r="CU16" i="22"/>
  <c r="CN14" i="24"/>
  <c r="CN17" i="24"/>
  <c r="CU19" i="22"/>
  <c r="CU23" i="22"/>
  <c r="CN21" i="24"/>
  <c r="CU20" i="22"/>
  <c r="CN18" i="24"/>
  <c r="CU24" i="22"/>
  <c r="CN22" i="24"/>
  <c r="CU14" i="16"/>
  <c r="CO14" i="17" s="1"/>
  <c r="CN13" i="17"/>
  <c r="CU18" i="16"/>
  <c r="CN18" i="17"/>
  <c r="CP18" i="17" s="1"/>
  <c r="CV18" i="16" s="1"/>
  <c r="CU15" i="16"/>
  <c r="CN15" i="17"/>
  <c r="CP15" i="17" s="1"/>
  <c r="CV15" i="16" s="1"/>
  <c r="CU17" i="16"/>
  <c r="CN17" i="17"/>
  <c r="CP17" i="17" s="1"/>
  <c r="CV17" i="16" s="1"/>
  <c r="CU21" i="16"/>
  <c r="CN21" i="17"/>
  <c r="CP21" i="17" s="1"/>
  <c r="CV21" i="16" s="1"/>
  <c r="CU19" i="16"/>
  <c r="CN19" i="17"/>
  <c r="CP19" i="17" s="1"/>
  <c r="CV19" i="16" s="1"/>
  <c r="CU20" i="16"/>
  <c r="CN20" i="17"/>
  <c r="CP20" i="17" s="1"/>
  <c r="CV20" i="16" s="1"/>
  <c r="CU22" i="16"/>
  <c r="CN22" i="17"/>
  <c r="CP22" i="17" s="1"/>
  <c r="CV22" i="16" s="1"/>
  <c r="CU16" i="16"/>
  <c r="CN16" i="17"/>
  <c r="CP16" i="17" s="1"/>
  <c r="CV16" i="16" s="1"/>
  <c r="CO32" i="17"/>
  <c r="CN32" i="17"/>
  <c r="CP32" i="17" s="1"/>
  <c r="CV32" i="16" s="1"/>
  <c r="CO31" i="17"/>
  <c r="CN31" i="17"/>
  <c r="CP31" i="17" s="1"/>
  <c r="CV31" i="16" s="1"/>
  <c r="CO34" i="17"/>
  <c r="CN34" i="17"/>
  <c r="CP34" i="17" s="1"/>
  <c r="CV34" i="16" s="1"/>
  <c r="CO35" i="17"/>
  <c r="CN35" i="17"/>
  <c r="CP35" i="17" s="1"/>
  <c r="CV35" i="16" s="1"/>
  <c r="CO36" i="17"/>
  <c r="CN36" i="17"/>
  <c r="CP36" i="17" s="1"/>
  <c r="CV36" i="16" s="1"/>
  <c r="CO29" i="17"/>
  <c r="CN29" i="17"/>
  <c r="CP29" i="17" s="1"/>
  <c r="CV29" i="16" s="1"/>
  <c r="CO30" i="17"/>
  <c r="CN30" i="17"/>
  <c r="CP30" i="17" s="1"/>
  <c r="CV30" i="16" s="1"/>
  <c r="CO28" i="17"/>
  <c r="CN28" i="17"/>
  <c r="CP28" i="17" s="1"/>
  <c r="CV28" i="16" s="1"/>
  <c r="CN27" i="17"/>
  <c r="CO33" i="17"/>
  <c r="CN33" i="17"/>
  <c r="CP33" i="17" s="1"/>
  <c r="CV33" i="16" s="1"/>
  <c r="BD12" i="16"/>
  <c r="U16" i="20"/>
  <c r="U5" i="20" s="1"/>
  <c r="CP14" i="17"/>
  <c r="CV14" i="16" s="1"/>
  <c r="AA3" i="20"/>
  <c r="U3" i="20"/>
  <c r="O15" i="20"/>
  <c r="O5" i="20" s="1"/>
  <c r="S3" i="20"/>
  <c r="AA15" i="20"/>
  <c r="AA5" i="20" s="1"/>
  <c r="O3" i="20"/>
  <c r="AP14" i="20"/>
  <c r="AP8" i="20"/>
  <c r="K8" i="20"/>
  <c r="K14" i="20"/>
  <c r="N14" i="20"/>
  <c r="N8" i="20"/>
  <c r="BI14" i="20"/>
  <c r="BI8" i="20"/>
  <c r="AX2" i="20"/>
  <c r="AX16" i="20" s="1"/>
  <c r="AX14" i="20"/>
  <c r="AX8" i="20"/>
  <c r="AU14" i="20"/>
  <c r="AU8" i="20"/>
  <c r="BF2" i="20"/>
  <c r="BF16" i="20" s="1"/>
  <c r="BF14" i="20"/>
  <c r="BF8" i="20"/>
  <c r="AN2" i="20"/>
  <c r="AN16" i="20" s="1"/>
  <c r="AN14" i="20"/>
  <c r="AN8" i="20"/>
  <c r="X2" i="20"/>
  <c r="X15" i="20" s="1"/>
  <c r="X14" i="20"/>
  <c r="X8" i="20"/>
  <c r="AG2" i="20"/>
  <c r="AG15" i="20" s="1"/>
  <c r="AG14" i="20"/>
  <c r="AG8" i="20"/>
  <c r="AJ2" i="20"/>
  <c r="AJ3" i="20" s="1"/>
  <c r="AJ14" i="20"/>
  <c r="AJ8" i="20"/>
  <c r="AF2" i="20"/>
  <c r="AF16" i="20" s="1"/>
  <c r="AF14" i="20"/>
  <c r="AF8" i="20"/>
  <c r="BE2" i="20"/>
  <c r="BE3" i="20" s="1"/>
  <c r="BE14" i="20"/>
  <c r="BE8" i="20"/>
  <c r="AD14" i="20"/>
  <c r="AD8" i="20"/>
  <c r="E14" i="20"/>
  <c r="E8" i="20"/>
  <c r="AB14" i="20"/>
  <c r="AB8" i="20"/>
  <c r="BG8" i="20"/>
  <c r="BG14" i="20"/>
  <c r="BB14" i="20"/>
  <c r="BB8" i="20"/>
  <c r="F2" i="20"/>
  <c r="F15" i="20" s="1"/>
  <c r="F14" i="20"/>
  <c r="F8" i="20"/>
  <c r="AH2" i="20"/>
  <c r="AH15" i="20" s="1"/>
  <c r="AH14" i="20"/>
  <c r="AH8" i="20"/>
  <c r="AR2" i="20"/>
  <c r="AR15" i="20" s="1"/>
  <c r="AR14" i="20"/>
  <c r="AR8" i="20"/>
  <c r="W2" i="20"/>
  <c r="W15" i="20" s="1"/>
  <c r="W14" i="20"/>
  <c r="W8" i="20"/>
  <c r="AW2" i="20"/>
  <c r="AW15" i="20" s="1"/>
  <c r="AW14" i="20"/>
  <c r="AW8" i="20"/>
  <c r="P2" i="20"/>
  <c r="P15" i="20" s="1"/>
  <c r="P14" i="20"/>
  <c r="P8" i="20"/>
  <c r="AO14" i="20"/>
  <c r="AO8" i="20"/>
  <c r="AZ2" i="20"/>
  <c r="AZ16" i="20" s="1"/>
  <c r="AZ14" i="20"/>
  <c r="AZ8" i="20"/>
  <c r="Y2" i="20"/>
  <c r="Y15" i="20" s="1"/>
  <c r="Y8" i="20"/>
  <c r="Y14" i="20"/>
  <c r="H2" i="20"/>
  <c r="H15" i="20" s="1"/>
  <c r="H14" i="20"/>
  <c r="H8" i="20"/>
  <c r="AV2" i="20"/>
  <c r="AV15" i="20" s="1"/>
  <c r="AV14" i="20"/>
  <c r="AV8" i="20"/>
  <c r="Z8" i="20"/>
  <c r="Z14" i="20"/>
  <c r="D14" i="20"/>
  <c r="D2" i="20"/>
  <c r="D15" i="20" s="1"/>
  <c r="D8" i="20"/>
  <c r="V14" i="20"/>
  <c r="V8" i="20"/>
  <c r="AL2" i="20"/>
  <c r="AL16" i="20" s="1"/>
  <c r="AL14" i="20"/>
  <c r="AL8" i="20"/>
  <c r="BH2" i="20"/>
  <c r="BH16" i="20" s="1"/>
  <c r="BH14" i="20"/>
  <c r="BH8" i="20"/>
  <c r="AQ2" i="20"/>
  <c r="AQ16" i="20" s="1"/>
  <c r="AQ8" i="20"/>
  <c r="AQ14" i="20"/>
  <c r="L2" i="20"/>
  <c r="L16" i="20" s="1"/>
  <c r="L14" i="20"/>
  <c r="L8" i="20"/>
  <c r="BA14" i="20"/>
  <c r="BA8" i="20"/>
  <c r="BD2" i="20"/>
  <c r="BD16" i="20" s="1"/>
  <c r="BD14" i="20"/>
  <c r="BD8" i="20"/>
  <c r="AI2" i="20"/>
  <c r="AI16" i="20" s="1"/>
  <c r="AI8" i="20"/>
  <c r="AI14" i="20"/>
  <c r="Q8" i="20"/>
  <c r="Q14" i="20"/>
  <c r="AY8" i="20"/>
  <c r="AY14" i="20"/>
  <c r="S15" i="20"/>
  <c r="S5" i="20" s="1"/>
  <c r="O17" i="20"/>
  <c r="R8" i="20"/>
  <c r="R14" i="20"/>
  <c r="BJ14" i="20"/>
  <c r="BJ8" i="20"/>
  <c r="I2" i="20"/>
  <c r="I16" i="20" s="1"/>
  <c r="I14" i="20"/>
  <c r="I8" i="20"/>
  <c r="AT2" i="20"/>
  <c r="AT16" i="20" s="1"/>
  <c r="AT14" i="20"/>
  <c r="AT8" i="20"/>
  <c r="AE2" i="20"/>
  <c r="AE15" i="20" s="1"/>
  <c r="AE14" i="20"/>
  <c r="AE8" i="20"/>
  <c r="AS2" i="20"/>
  <c r="AS15" i="20" s="1"/>
  <c r="AS14" i="20"/>
  <c r="AS8" i="20"/>
  <c r="J8" i="20"/>
  <c r="J14" i="20"/>
  <c r="T14" i="20"/>
  <c r="T8" i="20"/>
  <c r="AC14" i="20"/>
  <c r="AC8" i="20"/>
  <c r="AK14" i="20"/>
  <c r="AK8" i="20"/>
  <c r="AM2" i="20"/>
  <c r="AM16" i="20" s="1"/>
  <c r="AM14" i="20"/>
  <c r="AM8" i="20"/>
  <c r="M2" i="20"/>
  <c r="M16" i="20" s="1"/>
  <c r="M14" i="20"/>
  <c r="M8" i="20"/>
  <c r="BC2" i="20"/>
  <c r="BC15" i="20" s="1"/>
  <c r="BC14" i="20"/>
  <c r="BC8" i="20"/>
  <c r="U17" i="20"/>
  <c r="AD2" i="20"/>
  <c r="AB2" i="20"/>
  <c r="BG2" i="20"/>
  <c r="V2" i="20"/>
  <c r="Z2" i="20"/>
  <c r="BJ2" i="20"/>
  <c r="BA2" i="20"/>
  <c r="Q2" i="20"/>
  <c r="AY2" i="20"/>
  <c r="AP2" i="20"/>
  <c r="AU2" i="20"/>
  <c r="E2" i="20"/>
  <c r="K2" i="20"/>
  <c r="N2" i="20"/>
  <c r="AO2" i="20"/>
  <c r="BB2" i="20"/>
  <c r="R2" i="20"/>
  <c r="BI2" i="20"/>
  <c r="J2" i="20"/>
  <c r="T2" i="20"/>
  <c r="AC2" i="20"/>
  <c r="AK2" i="20"/>
  <c r="G3" i="20"/>
  <c r="G16" i="20"/>
  <c r="G15" i="20"/>
  <c r="CL18" i="16"/>
  <c r="CL19" i="16"/>
  <c r="CL16" i="16"/>
  <c r="BD9" i="17"/>
  <c r="BD12" i="17" s="1"/>
  <c r="BK9" i="17"/>
  <c r="BK12" i="17" s="1"/>
  <c r="P9" i="17"/>
  <c r="P12" i="17" s="1"/>
  <c r="CL17" i="16"/>
  <c r="BM9" i="17"/>
  <c r="BM12" i="17" s="1"/>
  <c r="BR9" i="17"/>
  <c r="BR12" i="17" s="1"/>
  <c r="AJ9" i="17"/>
  <c r="AJ12" i="17" s="1"/>
  <c r="AZ9" i="17"/>
  <c r="AZ12" i="17" s="1"/>
  <c r="V9" i="17"/>
  <c r="V12" i="17" s="1"/>
  <c r="BV9" i="17"/>
  <c r="BV12" i="17" s="1"/>
  <c r="AY9" i="17"/>
  <c r="AY12" i="17" s="1"/>
  <c r="AS9" i="17"/>
  <c r="AS12" i="17" s="1"/>
  <c r="AA9" i="17"/>
  <c r="AA12" i="17" s="1"/>
  <c r="AQ9" i="17"/>
  <c r="AQ12" i="17" s="1"/>
  <c r="AC9" i="17"/>
  <c r="AC12" i="17" s="1"/>
  <c r="BA9" i="17"/>
  <c r="BA12" i="17" s="1"/>
  <c r="BG9" i="17"/>
  <c r="BG12" i="17" s="1"/>
  <c r="BI9" i="17"/>
  <c r="BI12" i="17" s="1"/>
  <c r="AX9" i="17"/>
  <c r="AX12" i="17" s="1"/>
  <c r="AW9" i="17"/>
  <c r="AW12" i="17" s="1"/>
  <c r="U9" i="17"/>
  <c r="U12" i="17" s="1"/>
  <c r="AL9" i="17"/>
  <c r="AL12" i="17" s="1"/>
  <c r="S9" i="17"/>
  <c r="S12" i="17" s="1"/>
  <c r="AB9" i="17"/>
  <c r="AB12" i="17" s="1"/>
  <c r="BE9" i="17"/>
  <c r="BE12" i="17" s="1"/>
  <c r="R9" i="17"/>
  <c r="R12" i="17" s="1"/>
  <c r="Y9" i="17"/>
  <c r="Y12" i="17" s="1"/>
  <c r="BB9" i="17"/>
  <c r="BB12" i="17" s="1"/>
  <c r="AG9" i="17"/>
  <c r="AG12" i="17" s="1"/>
  <c r="BN9" i="17"/>
  <c r="BN12" i="17" s="1"/>
  <c r="BS9" i="17"/>
  <c r="BS12" i="17" s="1"/>
  <c r="BU9" i="17"/>
  <c r="BU12" i="17" s="1"/>
  <c r="BQ9" i="17"/>
  <c r="BQ12" i="17" s="1"/>
  <c r="X9" i="17"/>
  <c r="X12" i="17" s="1"/>
  <c r="BC9" i="17"/>
  <c r="BC12" i="17" s="1"/>
  <c r="AE9" i="17"/>
  <c r="AE12" i="17" s="1"/>
  <c r="BO9" i="17"/>
  <c r="BO12" i="17" s="1"/>
  <c r="BH9" i="17"/>
  <c r="BH12" i="17" s="1"/>
  <c r="BT9" i="17"/>
  <c r="BT12" i="17" s="1"/>
  <c r="BL9" i="17"/>
  <c r="BL12" i="17" s="1"/>
  <c r="BF9" i="17"/>
  <c r="BF12" i="17" s="1"/>
  <c r="AK9" i="17"/>
  <c r="AK12" i="17" s="1"/>
  <c r="AM9" i="17"/>
  <c r="AM12" i="17" s="1"/>
  <c r="AO9" i="17"/>
  <c r="AO12" i="17" s="1"/>
  <c r="AI9" i="17"/>
  <c r="AI12" i="17" s="1"/>
  <c r="AU9" i="17"/>
  <c r="AU12" i="17" s="1"/>
  <c r="Q9" i="17"/>
  <c r="Q12" i="17" s="1"/>
  <c r="BJ9" i="17"/>
  <c r="BJ12" i="17" s="1"/>
  <c r="AF9" i="17"/>
  <c r="AF12" i="17" s="1"/>
  <c r="AN9" i="17"/>
  <c r="AN12" i="17" s="1"/>
  <c r="AD9" i="17"/>
  <c r="AD12" i="17" s="1"/>
  <c r="T9" i="17"/>
  <c r="T12" i="17" s="1"/>
  <c r="W9" i="17"/>
  <c r="W12" i="17" s="1"/>
  <c r="AR9" i="17"/>
  <c r="AR12" i="17" s="1"/>
  <c r="BP9" i="17"/>
  <c r="BP12" i="17" s="1"/>
  <c r="Z9" i="17"/>
  <c r="Z12" i="17" s="1"/>
  <c r="AH9" i="17"/>
  <c r="AH12" i="17" s="1"/>
  <c r="AP9" i="17"/>
  <c r="AP12" i="17" s="1"/>
  <c r="AT9" i="17"/>
  <c r="AT12" i="17" s="1"/>
  <c r="AV9" i="17"/>
  <c r="AV12" i="17" s="1"/>
  <c r="O9" i="17"/>
  <c r="O12" i="17" s="1"/>
  <c r="BH15" i="20" l="1"/>
  <c r="BE15" i="20"/>
  <c r="AA17" i="20"/>
  <c r="CO28" i="24"/>
  <c r="CU39" i="22"/>
  <c r="CO37" i="24" s="1"/>
  <c r="CO18" i="24"/>
  <c r="CP18" i="24"/>
  <c r="CO19" i="24"/>
  <c r="CP19" i="24"/>
  <c r="CO17" i="24"/>
  <c r="CP17" i="24"/>
  <c r="CO20" i="24"/>
  <c r="CP20" i="24"/>
  <c r="CO22" i="24"/>
  <c r="CP22" i="24"/>
  <c r="CO21" i="24"/>
  <c r="CP21" i="24"/>
  <c r="CP14" i="24"/>
  <c r="CO14" i="24"/>
  <c r="CO16" i="24"/>
  <c r="CP16" i="24"/>
  <c r="CU25" i="22"/>
  <c r="CP15" i="24"/>
  <c r="CO15" i="24"/>
  <c r="CP27" i="17"/>
  <c r="CV27" i="16" s="1"/>
  <c r="CV37" i="16" s="1"/>
  <c r="AG3" i="20"/>
  <c r="CP13" i="17"/>
  <c r="CV13" i="16" s="1"/>
  <c r="CO13" i="17"/>
  <c r="CO16" i="17"/>
  <c r="CO20" i="17"/>
  <c r="CO21" i="17"/>
  <c r="CO15" i="17"/>
  <c r="CO22" i="17"/>
  <c r="CO19" i="17"/>
  <c r="CO17" i="17"/>
  <c r="CO18" i="17"/>
  <c r="CO27" i="17"/>
  <c r="CU37" i="16"/>
  <c r="CO37" i="17" s="1"/>
  <c r="F3" i="20"/>
  <c r="AZ3" i="20"/>
  <c r="AT3" i="20"/>
  <c r="AR3" i="20"/>
  <c r="H3" i="20"/>
  <c r="CU23" i="16"/>
  <c r="CO23" i="17" s="1"/>
  <c r="AS3" i="20"/>
  <c r="AW3" i="20"/>
  <c r="BH3" i="20"/>
  <c r="AZ15" i="20"/>
  <c r="AR16" i="20"/>
  <c r="AW16" i="20"/>
  <c r="BE16" i="20"/>
  <c r="BE5" i="20" s="1"/>
  <c r="M15" i="20"/>
  <c r="AT15" i="20"/>
  <c r="AJ15" i="20"/>
  <c r="BF15" i="20"/>
  <c r="BF5" i="20" s="1"/>
  <c r="H16" i="20"/>
  <c r="H17" i="20" s="1"/>
  <c r="X16" i="20"/>
  <c r="AS16" i="20"/>
  <c r="AH3" i="20"/>
  <c r="BC3" i="20"/>
  <c r="AJ16" i="20"/>
  <c r="X3" i="20"/>
  <c r="L3" i="20"/>
  <c r="L15" i="20"/>
  <c r="L5" i="20" s="1"/>
  <c r="AL3" i="20"/>
  <c r="P3" i="20"/>
  <c r="I15" i="20"/>
  <c r="F16" i="20"/>
  <c r="F17" i="20" s="1"/>
  <c r="BF3" i="20"/>
  <c r="BD3" i="20"/>
  <c r="BD15" i="20"/>
  <c r="AV16" i="20"/>
  <c r="AV5" i="20" s="1"/>
  <c r="AV3" i="20"/>
  <c r="AQ15" i="20"/>
  <c r="AQ3" i="20"/>
  <c r="AM15" i="20"/>
  <c r="AM5" i="20" s="1"/>
  <c r="AM3" i="20"/>
  <c r="AI15" i="20"/>
  <c r="AI17" i="20" s="1"/>
  <c r="AI3" i="20"/>
  <c r="AG16" i="20"/>
  <c r="AG5" i="20" s="1"/>
  <c r="AF15" i="20"/>
  <c r="W16" i="20"/>
  <c r="W17" i="20" s="1"/>
  <c r="W3" i="20"/>
  <c r="M3" i="20"/>
  <c r="I3" i="20"/>
  <c r="M5" i="20"/>
  <c r="P16" i="20"/>
  <c r="P17" i="20" s="1"/>
  <c r="D16" i="20"/>
  <c r="D5" i="20" s="1"/>
  <c r="AH16" i="20"/>
  <c r="AH17" i="20" s="1"/>
  <c r="AF3" i="20"/>
  <c r="AL15" i="20"/>
  <c r="AL5" i="20" s="1"/>
  <c r="Y16" i="20"/>
  <c r="Y5" i="20" s="1"/>
  <c r="AN15" i="20"/>
  <c r="AN17" i="20" s="1"/>
  <c r="D3" i="20"/>
  <c r="BC16" i="20"/>
  <c r="BC17" i="20" s="1"/>
  <c r="AX15" i="20"/>
  <c r="AX5" i="20" s="1"/>
  <c r="AX3" i="20"/>
  <c r="AN3" i="20"/>
  <c r="Y3" i="20"/>
  <c r="AF5" i="20"/>
  <c r="BH5" i="20"/>
  <c r="AA9" i="20"/>
  <c r="G17" i="20"/>
  <c r="AT5" i="20"/>
  <c r="AR5" i="20"/>
  <c r="AZ5" i="20"/>
  <c r="P5" i="20"/>
  <c r="AJ5" i="20"/>
  <c r="AE16" i="20"/>
  <c r="AE5" i="20" s="1"/>
  <c r="W5" i="20"/>
  <c r="AQ5" i="20"/>
  <c r="AI5" i="20"/>
  <c r="AW5" i="20"/>
  <c r="X5" i="20"/>
  <c r="BD5" i="20"/>
  <c r="AS5" i="20"/>
  <c r="AK9" i="20"/>
  <c r="T9" i="20"/>
  <c r="AW4" i="20"/>
  <c r="BC4" i="20"/>
  <c r="AS4" i="20"/>
  <c r="BI9" i="20"/>
  <c r="I17" i="20"/>
  <c r="AP9" i="20"/>
  <c r="Q9" i="20"/>
  <c r="BA9" i="20"/>
  <c r="L4" i="20"/>
  <c r="O9" i="20"/>
  <c r="M9" i="20"/>
  <c r="AT9" i="20"/>
  <c r="AQ17" i="20"/>
  <c r="BH17" i="20"/>
  <c r="AL9" i="20"/>
  <c r="Y9" i="20"/>
  <c r="P9" i="20"/>
  <c r="AR17" i="20"/>
  <c r="AH9" i="20"/>
  <c r="U9" i="20"/>
  <c r="BE9" i="20"/>
  <c r="X9" i="20"/>
  <c r="O4" i="20"/>
  <c r="AR4" i="20"/>
  <c r="BB9" i="20"/>
  <c r="P4" i="20"/>
  <c r="K9" i="20"/>
  <c r="BE4" i="20"/>
  <c r="AU9" i="20"/>
  <c r="Z9" i="20"/>
  <c r="BF4" i="20"/>
  <c r="AB9" i="20"/>
  <c r="AF4" i="20"/>
  <c r="BC9" i="20"/>
  <c r="AS17" i="20"/>
  <c r="AE9" i="20"/>
  <c r="BD17" i="20"/>
  <c r="BH9" i="20"/>
  <c r="AR9" i="20"/>
  <c r="AJ17" i="20"/>
  <c r="AG9" i="20"/>
  <c r="M4" i="20"/>
  <c r="R9" i="20"/>
  <c r="W4" i="20"/>
  <c r="AL4" i="20"/>
  <c r="AZ4" i="20"/>
  <c r="AN4" i="20"/>
  <c r="AJ4" i="20"/>
  <c r="AY9" i="20"/>
  <c r="AE3" i="20"/>
  <c r="AS9" i="20"/>
  <c r="BD9" i="20"/>
  <c r="L17" i="20"/>
  <c r="AQ9" i="20"/>
  <c r="AV9" i="20"/>
  <c r="AZ17" i="20"/>
  <c r="AW17" i="20"/>
  <c r="W9" i="20"/>
  <c r="S9" i="20"/>
  <c r="S17" i="20"/>
  <c r="AF17" i="20"/>
  <c r="AJ9" i="20"/>
  <c r="BF9" i="20"/>
  <c r="AA4" i="20"/>
  <c r="AC9" i="20"/>
  <c r="AM4" i="20"/>
  <c r="AT4" i="20"/>
  <c r="AO9" i="20"/>
  <c r="N9" i="20"/>
  <c r="X4" i="20"/>
  <c r="AI4" i="20"/>
  <c r="BD4" i="20"/>
  <c r="BJ9" i="20"/>
  <c r="BJ15" i="20"/>
  <c r="BJ16" i="20"/>
  <c r="AV4" i="20"/>
  <c r="V9" i="20"/>
  <c r="BG9" i="20"/>
  <c r="AD9" i="20"/>
  <c r="AG4" i="20"/>
  <c r="AE4" i="20"/>
  <c r="M17" i="20"/>
  <c r="AM9" i="20"/>
  <c r="AT17" i="20"/>
  <c r="AI9" i="20"/>
  <c r="L9" i="20"/>
  <c r="AZ9" i="20"/>
  <c r="AW9" i="20"/>
  <c r="AF9" i="20"/>
  <c r="X17" i="20"/>
  <c r="AN9" i="20"/>
  <c r="AX9" i="20"/>
  <c r="S4" i="20"/>
  <c r="D9" i="20"/>
  <c r="I9" i="20"/>
  <c r="G9" i="20"/>
  <c r="E9" i="20"/>
  <c r="J9" i="20"/>
  <c r="H9" i="20"/>
  <c r="F9" i="20"/>
  <c r="C9" i="20"/>
  <c r="G5" i="20"/>
  <c r="AK15" i="20"/>
  <c r="AK3" i="20"/>
  <c r="AK16" i="20"/>
  <c r="AK4" i="20"/>
  <c r="T4" i="20"/>
  <c r="T3" i="20"/>
  <c r="T15" i="20"/>
  <c r="T16" i="20"/>
  <c r="I5" i="20"/>
  <c r="BB3" i="20"/>
  <c r="BB16" i="20"/>
  <c r="BB15" i="20"/>
  <c r="AO15" i="20"/>
  <c r="AO3" i="20"/>
  <c r="AO16" i="20"/>
  <c r="AO4" i="20"/>
  <c r="K16" i="20"/>
  <c r="K3" i="20"/>
  <c r="K15" i="20"/>
  <c r="AU16" i="20"/>
  <c r="AU3" i="20"/>
  <c r="AU15" i="20"/>
  <c r="AU4" i="20"/>
  <c r="AP4" i="20"/>
  <c r="AP3" i="20"/>
  <c r="AP16" i="20"/>
  <c r="AP15" i="20"/>
  <c r="Q15" i="20"/>
  <c r="Q3" i="20"/>
  <c r="Q4" i="20"/>
  <c r="Q16" i="20"/>
  <c r="AB3" i="20"/>
  <c r="AB16" i="20"/>
  <c r="AB15" i="20"/>
  <c r="BI15" i="20"/>
  <c r="BI3" i="20"/>
  <c r="BI16" i="20"/>
  <c r="BI4" i="20"/>
  <c r="Z4" i="20"/>
  <c r="Z3" i="20"/>
  <c r="Z16" i="20"/>
  <c r="Z15" i="20"/>
  <c r="AC15" i="20"/>
  <c r="AC3" i="20"/>
  <c r="AC16" i="20"/>
  <c r="J4" i="20"/>
  <c r="J3" i="20"/>
  <c r="J16" i="20"/>
  <c r="J15" i="20"/>
  <c r="N3" i="20"/>
  <c r="N16" i="20"/>
  <c r="N15" i="20"/>
  <c r="E4" i="20"/>
  <c r="E3" i="20"/>
  <c r="E16" i="20"/>
  <c r="E15" i="20"/>
  <c r="AY16" i="20"/>
  <c r="AY3" i="20"/>
  <c r="AY4" i="20"/>
  <c r="AY15" i="20"/>
  <c r="BA15" i="20"/>
  <c r="BA3" i="20"/>
  <c r="BA16" i="20"/>
  <c r="BA4" i="20"/>
  <c r="V3" i="20"/>
  <c r="V16" i="20"/>
  <c r="V15" i="20"/>
  <c r="BG16" i="20"/>
  <c r="BG3" i="20"/>
  <c r="BG4" i="20"/>
  <c r="BG15" i="20"/>
  <c r="AD3" i="20"/>
  <c r="AD16" i="20"/>
  <c r="AD15" i="20"/>
  <c r="R4" i="20"/>
  <c r="R3" i="20"/>
  <c r="R16" i="20"/>
  <c r="R15" i="20"/>
  <c r="I4" i="20"/>
  <c r="H5" i="20"/>
  <c r="H4" i="20"/>
  <c r="BJ4" i="20"/>
  <c r="BJ3" i="20"/>
  <c r="BJ5" i="20"/>
  <c r="D4" i="20"/>
  <c r="CJ14" i="17"/>
  <c r="CJ13" i="17"/>
  <c r="F4" i="20"/>
  <c r="CJ15" i="17"/>
  <c r="AB4" i="20"/>
  <c r="AC4" i="20"/>
  <c r="AQ4" i="20"/>
  <c r="BB4" i="20"/>
  <c r="AH4" i="20"/>
  <c r="N4" i="20"/>
  <c r="Y4" i="20"/>
  <c r="U4" i="20"/>
  <c r="C4" i="20"/>
  <c r="AD4" i="20"/>
  <c r="AX4" i="20"/>
  <c r="BH4" i="20"/>
  <c r="V4" i="20"/>
  <c r="K4" i="20"/>
  <c r="G4" i="20"/>
  <c r="CP23" i="17" l="1"/>
  <c r="CV23" i="16" s="1"/>
  <c r="F5" i="20"/>
  <c r="BF17" i="20"/>
  <c r="AH5" i="20"/>
  <c r="BE17" i="20"/>
  <c r="AV17" i="20"/>
  <c r="AP17" i="20"/>
  <c r="AM17" i="20"/>
  <c r="CO23" i="24"/>
  <c r="AG17" i="20"/>
  <c r="BI17" i="20"/>
  <c r="K5" i="20"/>
  <c r="D17" i="20"/>
  <c r="Q5" i="20"/>
  <c r="V17" i="20"/>
  <c r="AL17" i="20"/>
  <c r="AX17" i="20"/>
  <c r="AN5" i="20"/>
  <c r="BC5" i="20"/>
  <c r="AC5" i="20"/>
  <c r="Y17" i="20"/>
  <c r="T17" i="20"/>
  <c r="BJ17" i="20"/>
  <c r="BA17" i="20"/>
  <c r="Z5" i="20"/>
  <c r="AB17" i="20"/>
  <c r="N17" i="20"/>
  <c r="R17" i="20"/>
  <c r="AD17" i="20"/>
  <c r="Q17" i="20"/>
  <c r="BB17" i="20"/>
  <c r="AY17" i="20"/>
  <c r="AU17" i="20"/>
  <c r="AE17" i="20"/>
  <c r="BG17" i="20"/>
  <c r="N5" i="20"/>
  <c r="AC17" i="20"/>
  <c r="AO5" i="20"/>
  <c r="AK17" i="20"/>
  <c r="AK10" i="20"/>
  <c r="AK11" i="20" s="1"/>
  <c r="AP5" i="20"/>
  <c r="BB5" i="20"/>
  <c r="BG5" i="20"/>
  <c r="V5" i="20"/>
  <c r="AD5" i="20"/>
  <c r="BA5" i="20"/>
  <c r="E17" i="20"/>
  <c r="AK5" i="20"/>
  <c r="AN10" i="20"/>
  <c r="AN11" i="20" s="1"/>
  <c r="AF10" i="20"/>
  <c r="AF11" i="20" s="1"/>
  <c r="AM10" i="20"/>
  <c r="AM11" i="20" s="1"/>
  <c r="BG10" i="20"/>
  <c r="BG11" i="20" s="1"/>
  <c r="BJ10" i="20"/>
  <c r="BJ11" i="20" s="1"/>
  <c r="N10" i="20"/>
  <c r="N11" i="20" s="1"/>
  <c r="W10" i="20"/>
  <c r="W11" i="20" s="1"/>
  <c r="Z17" i="20"/>
  <c r="AO17" i="20"/>
  <c r="AE10" i="20"/>
  <c r="AE11" i="20" s="1"/>
  <c r="AH10" i="20"/>
  <c r="AH11" i="20" s="1"/>
  <c r="P10" i="20"/>
  <c r="P11" i="20" s="1"/>
  <c r="M10" i="20"/>
  <c r="M11" i="20" s="1"/>
  <c r="R5" i="20"/>
  <c r="O10" i="20"/>
  <c r="O11" i="20" s="1"/>
  <c r="AA10" i="20"/>
  <c r="AA11" i="20" s="1"/>
  <c r="U10" i="20"/>
  <c r="U11" i="20" s="1"/>
  <c r="S10" i="20"/>
  <c r="S11" i="20" s="1"/>
  <c r="AY5" i="20"/>
  <c r="J17" i="20"/>
  <c r="BI5" i="20"/>
  <c r="AB5" i="20"/>
  <c r="AX10" i="20"/>
  <c r="AX11" i="20" s="1"/>
  <c r="AZ10" i="20"/>
  <c r="AZ11" i="20" s="1"/>
  <c r="AI10" i="20"/>
  <c r="AI11" i="20" s="1"/>
  <c r="BF10" i="20"/>
  <c r="BF11" i="20" s="1"/>
  <c r="AJ10" i="20"/>
  <c r="AJ11" i="20" s="1"/>
  <c r="AS10" i="20"/>
  <c r="AS11" i="20" s="1"/>
  <c r="AR10" i="20"/>
  <c r="AR11" i="20" s="1"/>
  <c r="BH10" i="20"/>
  <c r="BH11" i="20" s="1"/>
  <c r="BB10" i="20"/>
  <c r="BB11" i="20" s="1"/>
  <c r="K17" i="20"/>
  <c r="AL10" i="20"/>
  <c r="AL11" i="20" s="1"/>
  <c r="BA10" i="20"/>
  <c r="BA11" i="20" s="1"/>
  <c r="AP10" i="20"/>
  <c r="AP11" i="20" s="1"/>
  <c r="BI10" i="20"/>
  <c r="BI11" i="20" s="1"/>
  <c r="AU5" i="20"/>
  <c r="AW10" i="20"/>
  <c r="AW11" i="20" s="1"/>
  <c r="V10" i="20"/>
  <c r="V11" i="20" s="1"/>
  <c r="AY10" i="20"/>
  <c r="AY11" i="20" s="1"/>
  <c r="R10" i="20"/>
  <c r="R11" i="20" s="1"/>
  <c r="AG10" i="20"/>
  <c r="AG11" i="20" s="1"/>
  <c r="BC10" i="20"/>
  <c r="BC11" i="20" s="1"/>
  <c r="Z10" i="20"/>
  <c r="Z11" i="20" s="1"/>
  <c r="K10" i="20"/>
  <c r="K11" i="20" s="1"/>
  <c r="X10" i="20"/>
  <c r="X11" i="20" s="1"/>
  <c r="BE10" i="20"/>
  <c r="BE11" i="20" s="1"/>
  <c r="AT10" i="20"/>
  <c r="AT11" i="20" s="1"/>
  <c r="T10" i="20"/>
  <c r="T11" i="20" s="1"/>
  <c r="T5" i="20"/>
  <c r="L10" i="20"/>
  <c r="L11" i="20" s="1"/>
  <c r="AD10" i="20"/>
  <c r="AD11" i="20" s="1"/>
  <c r="AO10" i="20"/>
  <c r="AO11" i="20" s="1"/>
  <c r="AC10" i="20"/>
  <c r="AC11" i="20" s="1"/>
  <c r="AV10" i="20"/>
  <c r="AV11" i="20" s="1"/>
  <c r="AQ10" i="20"/>
  <c r="AQ11" i="20" s="1"/>
  <c r="BD10" i="20"/>
  <c r="BD11" i="20" s="1"/>
  <c r="AB10" i="20"/>
  <c r="AB11" i="20" s="1"/>
  <c r="AU10" i="20"/>
  <c r="AU11" i="20" s="1"/>
  <c r="Y10" i="20"/>
  <c r="Y11" i="20" s="1"/>
  <c r="Q10" i="20"/>
  <c r="Q11" i="20" s="1"/>
  <c r="CP23" i="24"/>
  <c r="D10" i="20"/>
  <c r="D11" i="20" s="1"/>
  <c r="H10" i="20"/>
  <c r="H11" i="20" s="1"/>
  <c r="E10" i="20"/>
  <c r="E11" i="20" s="1"/>
  <c r="I10" i="20"/>
  <c r="I11" i="20" s="1"/>
  <c r="G10" i="20"/>
  <c r="G11" i="20" s="1"/>
  <c r="F10" i="20"/>
  <c r="F11" i="20" s="1"/>
  <c r="J10" i="20"/>
  <c r="J11" i="20" s="1"/>
  <c r="C10" i="20"/>
  <c r="C11" i="20" s="1"/>
  <c r="E5" i="20"/>
  <c r="J5" i="20"/>
  <c r="B15" i="20"/>
  <c r="B9" i="20"/>
  <c r="B11" i="20" l="1"/>
  <c r="B17" i="20"/>
  <c r="B10" i="20"/>
  <c r="B16" i="20" l="1"/>
  <c r="B5" i="20"/>
  <c r="CV29" i="22" l="1"/>
  <c r="CV39" i="22" s="1"/>
  <c r="CP37" i="24" l="1"/>
  <c r="CP37" i="17" l="1"/>
</calcChain>
</file>

<file path=xl/sharedStrings.xml><?xml version="1.0" encoding="utf-8"?>
<sst xmlns="http://schemas.openxmlformats.org/spreadsheetml/2006/main" count="277" uniqueCount="84">
  <si>
    <t>性別</t>
    <rPh sb="0" eb="2">
      <t>セイベツ</t>
    </rPh>
    <phoneticPr fontId="1"/>
  </si>
  <si>
    <t>No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</si>
  <si>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</si>
  <si>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</si>
  <si>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</si>
  <si>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検査結果</t>
    <rPh sb="0" eb="2">
      <t>ケンサ</t>
    </rPh>
    <rPh sb="2" eb="4">
      <t>ケッカ</t>
    </rPh>
    <phoneticPr fontId="1"/>
  </si>
  <si>
    <t>（※当該感染症による有症状者に「○」を付けてください。）</t>
    <rPh sb="2" eb="4">
      <t>トウガイ</t>
    </rPh>
    <rPh sb="4" eb="7">
      <t>カンセンショウ</t>
    </rPh>
    <rPh sb="10" eb="11">
      <t>ユウ</t>
    </rPh>
    <rPh sb="11" eb="13">
      <t>ショウジョウ</t>
    </rPh>
    <rPh sb="13" eb="14">
      <t>シャ</t>
    </rPh>
    <rPh sb="19" eb="20">
      <t>ツ</t>
    </rPh>
    <phoneticPr fontId="1"/>
  </si>
  <si>
    <t>咳</t>
    <rPh sb="0" eb="1">
      <t>セキ</t>
    </rPh>
    <phoneticPr fontId="1"/>
  </si>
  <si>
    <t>熱（38度）</t>
    <rPh sb="0" eb="1">
      <t>ネツ</t>
    </rPh>
    <rPh sb="4" eb="5">
      <t>ド</t>
    </rPh>
    <phoneticPr fontId="1"/>
  </si>
  <si>
    <t>備考</t>
    <rPh sb="0" eb="2">
      <t>ビコウ</t>
    </rPh>
    <phoneticPr fontId="1"/>
  </si>
  <si>
    <t>2号室</t>
    <rPh sb="1" eb="3">
      <t>ゴウシツ</t>
    </rPh>
    <phoneticPr fontId="1"/>
  </si>
  <si>
    <t>3号室</t>
    <rPh sb="1" eb="3">
      <t>ゴウシツ</t>
    </rPh>
    <phoneticPr fontId="1"/>
  </si>
  <si>
    <t>5号室</t>
    <rPh sb="1" eb="3">
      <t>ゴウシツ</t>
    </rPh>
    <phoneticPr fontId="1"/>
  </si>
  <si>
    <t>施設名　：</t>
    <phoneticPr fontId="1"/>
  </si>
  <si>
    <t>名</t>
    <rPh sb="0" eb="1">
      <t>メイ</t>
    </rPh>
    <phoneticPr fontId="1"/>
  </si>
  <si>
    <t>初発患者発生日：</t>
    <rPh sb="0" eb="4">
      <t>ショハツカンジャ</t>
    </rPh>
    <rPh sb="4" eb="7">
      <t>ハッセイビ</t>
    </rPh>
    <phoneticPr fontId="1"/>
  </si>
  <si>
    <t>氏名</t>
    <rPh sb="0" eb="1">
      <t>シ</t>
    </rPh>
    <rPh sb="1" eb="2">
      <t>メイ</t>
    </rPh>
    <phoneticPr fontId="1"/>
  </si>
  <si>
    <t>報告年月日：</t>
    <phoneticPr fontId="1"/>
  </si>
  <si>
    <t>現在</t>
    <rPh sb="0" eb="2">
      <t>ゲンザイ</t>
    </rPh>
    <phoneticPr fontId="1"/>
  </si>
  <si>
    <t>結果判明日</t>
    <rPh sb="0" eb="5">
      <t>ケッカハンメイビ</t>
    </rPh>
    <phoneticPr fontId="1"/>
  </si>
  <si>
    <t>検査</t>
    <rPh sb="0" eb="2">
      <t>ケンサ</t>
    </rPh>
    <phoneticPr fontId="1"/>
  </si>
  <si>
    <t>○</t>
  </si>
  <si>
    <t>1号室</t>
    <rPh sb="1" eb="3">
      <t>ゴウシツ</t>
    </rPh>
    <phoneticPr fontId="1"/>
  </si>
  <si>
    <t>4号室</t>
    <rPh sb="1" eb="3">
      <t>ゴウシツ</t>
    </rPh>
    <phoneticPr fontId="1"/>
  </si>
  <si>
    <t>計</t>
    <rPh sb="0" eb="1">
      <t>ケイ</t>
    </rPh>
    <phoneticPr fontId="1"/>
  </si>
  <si>
    <t>インフルエンザ</t>
    <phoneticPr fontId="1"/>
  </si>
  <si>
    <t>新型コロナウイルス感染症</t>
    <rPh sb="0" eb="2">
      <t>シンガタ</t>
    </rPh>
    <rPh sb="9" eb="12">
      <t>カンセンショウ</t>
    </rPh>
    <phoneticPr fontId="1"/>
  </si>
  <si>
    <t>感染性胃腸炎（ノロウイルス）</t>
    <rPh sb="0" eb="6">
      <t>カンセンセイイチョウエン</t>
    </rPh>
    <phoneticPr fontId="1"/>
  </si>
  <si>
    <t>発生患者経過表（職員）</t>
    <rPh sb="0" eb="4">
      <t>ハッセイカンジャ</t>
    </rPh>
    <rPh sb="4" eb="6">
      <t>ケイカ</t>
    </rPh>
    <rPh sb="6" eb="7">
      <t>ヒョウ</t>
    </rPh>
    <rPh sb="8" eb="10">
      <t>ショクイン</t>
    </rPh>
    <phoneticPr fontId="1"/>
  </si>
  <si>
    <t>その他（具体的な診断名を記載してください）</t>
    <rPh sb="2" eb="3">
      <t>タ</t>
    </rPh>
    <rPh sb="4" eb="7">
      <t>グタイテキ</t>
    </rPh>
    <rPh sb="8" eb="11">
      <t>シンダンメイ</t>
    </rPh>
    <rPh sb="12" eb="14">
      <t>キサイ</t>
    </rPh>
    <phoneticPr fontId="1"/>
  </si>
  <si>
    <t>部屋番号</t>
    <rPh sb="0" eb="2">
      <t>ヘヤ</t>
    </rPh>
    <rPh sb="2" eb="4">
      <t>バンゴウ</t>
    </rPh>
    <phoneticPr fontId="1"/>
  </si>
  <si>
    <t>名</t>
    <rPh sb="0" eb="1">
      <t>メイ</t>
    </rPh>
    <phoneticPr fontId="1"/>
  </si>
  <si>
    <t>職員数：</t>
    <rPh sb="0" eb="3">
      <t>ショクインスウ</t>
    </rPh>
    <phoneticPr fontId="1"/>
  </si>
  <si>
    <t>症状</t>
    <rPh sb="0" eb="2">
      <t>ショウジョウ</t>
    </rPh>
    <phoneticPr fontId="1"/>
  </si>
  <si>
    <t>療養解除日</t>
    <rPh sb="0" eb="4">
      <t>リョウヨウカイジョ</t>
    </rPh>
    <rPh sb="4" eb="5">
      <t>ビ</t>
    </rPh>
    <phoneticPr fontId="1"/>
  </si>
  <si>
    <t>死亡日</t>
    <rPh sb="0" eb="3">
      <t>シボウビ</t>
    </rPh>
    <phoneticPr fontId="1"/>
  </si>
  <si>
    <t>症状の有無</t>
    <rPh sb="0" eb="2">
      <t>ショウジョウ</t>
    </rPh>
    <rPh sb="3" eb="5">
      <t>ウム</t>
    </rPh>
    <phoneticPr fontId="1"/>
  </si>
  <si>
    <t>発症日</t>
    <rPh sb="0" eb="3">
      <t>ハッショウビ</t>
    </rPh>
    <phoneticPr fontId="1"/>
  </si>
  <si>
    <t>フロア名重複処理</t>
    <rPh sb="3" eb="4">
      <t>メイ</t>
    </rPh>
    <rPh sb="4" eb="6">
      <t>ジュウフク</t>
    </rPh>
    <rPh sb="6" eb="8">
      <t>ショリ</t>
    </rPh>
    <phoneticPr fontId="1"/>
  </si>
  <si>
    <t>名</t>
    <rPh sb="0" eb="1">
      <t>メイ</t>
    </rPh>
    <phoneticPr fontId="1"/>
  </si>
  <si>
    <t>療養者数</t>
    <rPh sb="0" eb="4">
      <t>リョウヨウシャスウ</t>
    </rPh>
    <phoneticPr fontId="1"/>
  </si>
  <si>
    <t>陽性</t>
  </si>
  <si>
    <t>発熱</t>
    <rPh sb="0" eb="2">
      <t>ハツネツ</t>
    </rPh>
    <phoneticPr fontId="1"/>
  </si>
  <si>
    <t>計</t>
    <rPh sb="0" eb="1">
      <t>ケイ</t>
    </rPh>
    <phoneticPr fontId="1"/>
  </si>
  <si>
    <t>ー</t>
    <phoneticPr fontId="1"/>
  </si>
  <si>
    <t>○田　○子</t>
  </si>
  <si>
    <t>○山　○冶</t>
  </si>
  <si>
    <t>○川　○子</t>
  </si>
  <si>
    <t>○山　○江</t>
  </si>
  <si>
    <t>○田　○男</t>
  </si>
  <si>
    <t>咳・熱</t>
    <rPh sb="0" eb="1">
      <t>セキ</t>
    </rPh>
    <rPh sb="2" eb="3">
      <t>ネツ</t>
    </rPh>
    <phoneticPr fontId="1"/>
  </si>
  <si>
    <t>咽頭痛</t>
    <rPh sb="0" eb="2">
      <t>イントウ</t>
    </rPh>
    <rPh sb="2" eb="3">
      <t>ツウ</t>
    </rPh>
    <phoneticPr fontId="1"/>
  </si>
  <si>
    <t>職種</t>
    <rPh sb="0" eb="2">
      <t>ショクシュ</t>
    </rPh>
    <phoneticPr fontId="1"/>
  </si>
  <si>
    <t>名</t>
    <rPh sb="0" eb="1">
      <t>メイ</t>
    </rPh>
    <phoneticPr fontId="1"/>
  </si>
  <si>
    <t>介護士</t>
    <rPh sb="0" eb="3">
      <t>カイゴシ</t>
    </rPh>
    <phoneticPr fontId="1"/>
  </si>
  <si>
    <t>看護師</t>
    <rPh sb="0" eb="3">
      <t>カンゴシ</t>
    </rPh>
    <phoneticPr fontId="1"/>
  </si>
  <si>
    <t>○谷　○彦</t>
  </si>
  <si>
    <t>○中　○子</t>
  </si>
  <si>
    <t>○○</t>
  </si>
  <si>
    <t>○○</t>
    <phoneticPr fontId="1"/>
  </si>
  <si>
    <t>診断日</t>
    <rPh sb="0" eb="3">
      <t>シンダンビ</t>
    </rPh>
    <phoneticPr fontId="1"/>
  </si>
  <si>
    <t>発生患者経過表（入院患者）</t>
    <rPh sb="0" eb="2">
      <t>ハッセイ</t>
    </rPh>
    <rPh sb="2" eb="4">
      <t>カンジャ</t>
    </rPh>
    <rPh sb="4" eb="6">
      <t>ケイカ</t>
    </rPh>
    <rPh sb="6" eb="7">
      <t>ヒョウ</t>
    </rPh>
    <rPh sb="8" eb="10">
      <t>ニュウイン</t>
    </rPh>
    <rPh sb="10" eb="12">
      <t>カンジャ</t>
    </rPh>
    <phoneticPr fontId="1"/>
  </si>
  <si>
    <t>入院者数：</t>
    <rPh sb="0" eb="2">
      <t>ニュウイン</t>
    </rPh>
    <rPh sb="2" eb="3">
      <t>シャ</t>
    </rPh>
    <rPh sb="3" eb="4">
      <t>スウ</t>
    </rPh>
    <phoneticPr fontId="1"/>
  </si>
  <si>
    <t>病棟</t>
    <rPh sb="0" eb="2">
      <t>ビョウトウ</t>
    </rPh>
    <phoneticPr fontId="1"/>
  </si>
  <si>
    <t>現在の有症状者数</t>
    <rPh sb="0" eb="2">
      <t>ゲンザイ</t>
    </rPh>
    <rPh sb="3" eb="8">
      <t>ユウショウジョウシャスウ</t>
    </rPh>
    <phoneticPr fontId="1"/>
  </si>
  <si>
    <t>職員</t>
    <rPh sb="0" eb="2">
      <t>ショクイン</t>
    </rPh>
    <phoneticPr fontId="1"/>
  </si>
  <si>
    <t>計</t>
    <rPh sb="0" eb="1">
      <t>ケイ</t>
    </rPh>
    <phoneticPr fontId="1"/>
  </si>
  <si>
    <t>新規陽性者数</t>
    <rPh sb="0" eb="2">
      <t>シンキ</t>
    </rPh>
    <rPh sb="2" eb="5">
      <t>ヨウセイシャ</t>
    </rPh>
    <rPh sb="5" eb="6">
      <t>スウ</t>
    </rPh>
    <phoneticPr fontId="1"/>
  </si>
  <si>
    <t>新規有症状者数</t>
    <rPh sb="0" eb="2">
      <t>シンキ</t>
    </rPh>
    <rPh sb="2" eb="7">
      <t>ユウショウジョウシャスウ</t>
    </rPh>
    <phoneticPr fontId="1"/>
  </si>
  <si>
    <t>入院患者</t>
    <rPh sb="0" eb="4">
      <t>ニュウインカンジャ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</si>
  <si>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</si>
  <si>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</si>
  <si>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（※初発患者発生日を入力していただくと、自動的に日付が入力されます。）</t>
    <rPh sb="2" eb="9">
      <t>ショハツカンジャハッセイビ</t>
    </rPh>
    <rPh sb="10" eb="12">
      <t>ニュウリョク</t>
    </rPh>
    <rPh sb="20" eb="23">
      <t>ジドウテキ</t>
    </rPh>
    <rPh sb="24" eb="26">
      <t>ヒヅケ</t>
    </rPh>
    <rPh sb="27" eb="29">
      <t>ニュウリョク</t>
    </rPh>
    <phoneticPr fontId="1"/>
  </si>
  <si>
    <t>東病棟</t>
    <rPh sb="0" eb="3">
      <t>ヒガシビョウトウ</t>
    </rPh>
    <phoneticPr fontId="1"/>
  </si>
  <si>
    <t>疾患名　：</t>
    <rPh sb="0" eb="3">
      <t>シッカンメイ</t>
    </rPh>
    <phoneticPr fontId="1"/>
  </si>
  <si>
    <t>薬剤耐性菌</t>
    <rPh sb="0" eb="5">
      <t>ヤクザイタイセイキン</t>
    </rPh>
    <phoneticPr fontId="1"/>
  </si>
  <si>
    <t>入力後</t>
    <rPh sb="0" eb="3">
      <t>ニュウリョクゴ</t>
    </rPh>
    <phoneticPr fontId="1"/>
  </si>
  <si>
    <t>こちら</t>
    <phoneticPr fontId="1"/>
  </si>
  <si>
    <t>をクリックしていただき、</t>
    <phoneticPr fontId="1"/>
  </si>
  <si>
    <t>入力いただいた内容をもとに、</t>
    <rPh sb="0" eb="2">
      <t>ニュウリョク</t>
    </rPh>
    <rPh sb="7" eb="9">
      <t>ナイヨウ</t>
    </rPh>
    <phoneticPr fontId="1"/>
  </si>
  <si>
    <t>発生人数等を自動計算しています。</t>
    <phoneticPr fontId="1"/>
  </si>
  <si>
    <t>表示されている内容をフォームに入力してください。</t>
    <rPh sb="0" eb="2">
      <t>ヒョウジ</t>
    </rPh>
    <rPh sb="7" eb="9">
      <t>ナイヨウ</t>
    </rPh>
    <rPh sb="15" eb="17">
      <t>ニュウリョク</t>
    </rPh>
    <phoneticPr fontId="1"/>
  </si>
  <si>
    <t>発生患者経過表（入院患者）</t>
    <rPh sb="0" eb="2">
      <t>ハッセイ</t>
    </rPh>
    <rPh sb="2" eb="4">
      <t>カンジャ</t>
    </rPh>
    <rPh sb="4" eb="6">
      <t>ケイカ</t>
    </rPh>
    <rPh sb="6" eb="7">
      <t>ヒョウ</t>
    </rPh>
    <rPh sb="8" eb="12">
      <t>ニュウインカンジャ</t>
    </rPh>
    <phoneticPr fontId="1"/>
  </si>
  <si>
    <t>別添１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</si>
</sst>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2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56" fontId="0" fillId="0" borderId="0" xfId="0" applyNumberFormat="1">
      <alignment vertical="center"/>
    </xf>
    <xf numFmtId="177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>
      <alignment vertical="center"/>
    </xf>
    <xf numFmtId="0" fontId="12" fillId="0" borderId="12" xfId="0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19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0" fillId="0" borderId="38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ill="1" applyBorder="1">
      <alignment vertical="center"/>
    </xf>
    <xf numFmtId="0" fontId="0" fillId="0" borderId="12" xfId="0" applyBorder="1" applyAlignment="1">
      <alignment vertical="center"/>
    </xf>
    <xf numFmtId="0" fontId="0" fillId="0" borderId="72" xfId="0" applyBorder="1">
      <alignment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7" xfId="0" applyBorder="1">
      <alignment vertical="center"/>
    </xf>
    <xf numFmtId="0" fontId="0" fillId="0" borderId="79" xfId="0" applyBorder="1" applyAlignment="1">
      <alignment horizontal="center" vertical="center"/>
    </xf>
    <xf numFmtId="177" fontId="0" fillId="0" borderId="80" xfId="0" applyNumberFormat="1" applyBorder="1">
      <alignment vertical="center"/>
    </xf>
    <xf numFmtId="177" fontId="0" fillId="0" borderId="81" xfId="0" applyNumberFormat="1" applyBorder="1">
      <alignment vertical="center"/>
    </xf>
    <xf numFmtId="177" fontId="0" fillId="0" borderId="82" xfId="0" applyNumberFormat="1" applyBorder="1">
      <alignment vertical="center"/>
    </xf>
    <xf numFmtId="0" fontId="0" fillId="0" borderId="63" xfId="0" applyBorder="1">
      <alignment vertical="center"/>
    </xf>
    <xf numFmtId="0" fontId="0" fillId="0" borderId="57" xfId="0" applyBorder="1">
      <alignment vertical="center"/>
    </xf>
    <xf numFmtId="0" fontId="0" fillId="0" borderId="8" xfId="0" applyBorder="1">
      <alignment vertical="center"/>
    </xf>
    <xf numFmtId="0" fontId="0" fillId="0" borderId="8" xfId="0" applyFill="1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0" fillId="0" borderId="83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4" xfId="0" applyBorder="1">
      <alignment vertical="center"/>
    </xf>
    <xf numFmtId="0" fontId="0" fillId="0" borderId="4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44" xfId="0" applyBorder="1">
      <alignment vertical="center"/>
    </xf>
    <xf numFmtId="0" fontId="0" fillId="0" borderId="51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71" xfId="0" applyBorder="1">
      <alignment vertical="center"/>
    </xf>
    <xf numFmtId="177" fontId="0" fillId="0" borderId="79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 wrapText="1" shrinkToFit="1"/>
      <protection locked="0"/>
    </xf>
    <xf numFmtId="0" fontId="5" fillId="3" borderId="33" xfId="0" applyFont="1" applyFill="1" applyBorder="1" applyAlignment="1" applyProtection="1">
      <alignment horizontal="center" vertical="center" wrapText="1" shrinkToFit="1"/>
      <protection locked="0"/>
    </xf>
    <xf numFmtId="0" fontId="5" fillId="3" borderId="22" xfId="0" applyFont="1" applyFill="1" applyBorder="1" applyAlignment="1" applyProtection="1">
      <alignment horizontal="center" vertical="center" wrapText="1" shrinkToFit="1"/>
      <protection locked="0"/>
    </xf>
    <xf numFmtId="56" fontId="5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47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2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50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  <protection locked="0"/>
    </xf>
    <xf numFmtId="0" fontId="5" fillId="3" borderId="21" xfId="0" applyFont="1" applyFill="1" applyBorder="1" applyAlignment="1" applyProtection="1">
      <alignment horizontal="center" vertical="center" wrapText="1" shrinkToFit="1"/>
      <protection locked="0"/>
    </xf>
    <xf numFmtId="0" fontId="5" fillId="3" borderId="19" xfId="0" applyFont="1" applyFill="1" applyBorder="1" applyAlignment="1" applyProtection="1">
      <alignment horizontal="center" vertical="center" wrapText="1" shrinkToFit="1"/>
      <protection locked="0"/>
    </xf>
    <xf numFmtId="177" fontId="5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0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66" xfId="0" applyNumberFormat="1" applyFont="1" applyFill="1" applyBorder="1" applyAlignment="1" applyProtection="1">
      <alignment horizontal="center" vertical="center" wrapText="1"/>
      <protection locked="0"/>
    </xf>
    <xf numFmtId="56" fontId="5" fillId="4" borderId="69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69" xfId="0" applyNumberFormat="1" applyFont="1" applyFill="1" applyBorder="1" applyAlignment="1" applyProtection="1">
      <alignment horizontal="center" vertical="center" wrapText="1"/>
      <protection locked="0"/>
    </xf>
    <xf numFmtId="56" fontId="5" fillId="4" borderId="36" xfId="0" applyNumberFormat="1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center" vertical="center" wrapText="1" shrinkToFit="1"/>
      <protection locked="0"/>
    </xf>
    <xf numFmtId="177" fontId="5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37" xfId="0" applyFont="1" applyFill="1" applyBorder="1" applyAlignment="1" applyProtection="1">
      <alignment horizontal="left" vertical="center"/>
      <protection locked="0"/>
    </xf>
    <xf numFmtId="0" fontId="5" fillId="4" borderId="68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 shrinkToFit="1"/>
      <protection locked="0"/>
    </xf>
    <xf numFmtId="56" fontId="5" fillId="4" borderId="11" xfId="0" applyNumberFormat="1" applyFont="1" applyFill="1" applyBorder="1" applyAlignment="1" applyProtection="1">
      <alignment horizontal="left" vertical="center"/>
      <protection locked="0"/>
    </xf>
    <xf numFmtId="56" fontId="5" fillId="4" borderId="37" xfId="0" applyNumberFormat="1" applyFont="1" applyFill="1" applyBorder="1" applyAlignment="1" applyProtection="1">
      <alignment horizontal="left" vertical="center"/>
      <protection locked="0"/>
    </xf>
    <xf numFmtId="0" fontId="5" fillId="4" borderId="36" xfId="0" applyFont="1" applyFill="1" applyBorder="1" applyAlignment="1" applyProtection="1">
      <alignment horizontal="left" vertical="center" wrapText="1"/>
      <protection locked="0"/>
    </xf>
    <xf numFmtId="0" fontId="5" fillId="4" borderId="69" xfId="0" applyFont="1" applyFill="1" applyBorder="1" applyAlignment="1" applyProtection="1">
      <alignment horizontal="center" vertical="center" wrapText="1"/>
      <protection locked="0"/>
    </xf>
    <xf numFmtId="0" fontId="5" fillId="4" borderId="70" xfId="0" applyFont="1" applyFill="1" applyBorder="1" applyAlignment="1" applyProtection="1">
      <alignment horizontal="center" vertical="center" wrapText="1"/>
      <protection locked="0"/>
    </xf>
    <xf numFmtId="177" fontId="5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6" xfId="0" applyFont="1" applyFill="1" applyBorder="1" applyAlignment="1" applyProtection="1">
      <alignment horizontal="left"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45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177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4" borderId="69" xfId="0" applyFont="1" applyFill="1" applyBorder="1" applyProtection="1">
      <alignment vertical="center"/>
      <protection locked="0"/>
    </xf>
    <xf numFmtId="177" fontId="0" fillId="4" borderId="69" xfId="0" applyNumberFormat="1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 wrapText="1" shrinkToFit="1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77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4" borderId="70" xfId="0" applyFont="1" applyFill="1" applyBorder="1" applyProtection="1">
      <alignment vertical="center"/>
      <protection locked="0"/>
    </xf>
    <xf numFmtId="177" fontId="0" fillId="4" borderId="70" xfId="0" applyNumberFormat="1" applyFont="1" applyFill="1" applyBorder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 shrinkToFit="1"/>
      <protection locked="0"/>
    </xf>
    <xf numFmtId="177" fontId="5" fillId="3" borderId="31" xfId="0" applyNumberFormat="1" applyFont="1" applyFill="1" applyBorder="1" applyAlignment="1" applyProtection="1">
      <alignment horizontal="center" vertical="center"/>
      <protection locked="0"/>
    </xf>
    <xf numFmtId="0" fontId="0" fillId="4" borderId="71" xfId="0" applyFont="1" applyFill="1" applyBorder="1" applyProtection="1">
      <alignment vertical="center"/>
      <protection locked="0"/>
    </xf>
    <xf numFmtId="177" fontId="0" fillId="4" borderId="71" xfId="0" applyNumberFormat="1" applyFont="1" applyFill="1" applyBorder="1" applyProtection="1">
      <alignment vertical="center"/>
      <protection locked="0"/>
    </xf>
    <xf numFmtId="0" fontId="5" fillId="4" borderId="41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center" vertical="center" wrapText="1" shrinkToFit="1"/>
      <protection locked="0"/>
    </xf>
    <xf numFmtId="0" fontId="5" fillId="3" borderId="40" xfId="0" applyFont="1" applyFill="1" applyBorder="1" applyAlignment="1" applyProtection="1">
      <alignment horizontal="center" vertical="center" wrapText="1" shrinkToFit="1"/>
      <protection locked="0"/>
    </xf>
    <xf numFmtId="0" fontId="5" fillId="3" borderId="58" xfId="0" applyFont="1" applyFill="1" applyBorder="1" applyAlignment="1" applyProtection="1">
      <alignment horizontal="center" vertical="center" wrapText="1" shrinkToFit="1"/>
      <protection locked="0"/>
    </xf>
    <xf numFmtId="56" fontId="5" fillId="3" borderId="58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40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9" xfId="0" applyFont="1" applyFill="1" applyBorder="1" applyProtection="1">
      <alignment vertical="center"/>
      <protection locked="0"/>
    </xf>
    <xf numFmtId="177" fontId="5" fillId="3" borderId="21" xfId="0" applyNumberFormat="1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177" fontId="5" fillId="3" borderId="26" xfId="0" applyNumberFormat="1" applyFont="1" applyFill="1" applyBorder="1" applyProtection="1">
      <alignment vertical="center"/>
      <protection locked="0"/>
    </xf>
    <xf numFmtId="0" fontId="5" fillId="3" borderId="30" xfId="0" applyFont="1" applyFill="1" applyBorder="1" applyProtection="1">
      <alignment vertical="center"/>
      <protection locked="0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177" fontId="5" fillId="3" borderId="31" xfId="0" applyNumberFormat="1" applyFont="1" applyFill="1" applyBorder="1" applyProtection="1">
      <alignment vertical="center"/>
      <protection locked="0"/>
    </xf>
    <xf numFmtId="0" fontId="5" fillId="3" borderId="21" xfId="0" applyFont="1" applyFill="1" applyBorder="1" applyAlignment="1" applyProtection="1">
      <alignment horizontal="center" vertical="center" wrapText="1" shrinkToFit="1"/>
      <protection locked="0"/>
    </xf>
    <xf numFmtId="0" fontId="5" fillId="3" borderId="11" xfId="0" applyFont="1" applyFill="1" applyBorder="1" applyAlignment="1" applyProtection="1">
      <alignment horizontal="center" vertical="center" wrapText="1" shrinkToFit="1"/>
      <protection locked="0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15" xfId="0" applyFont="1" applyFill="1" applyBorder="1" applyAlignment="1" applyProtection="1">
      <alignment horizontal="center" vertical="center" wrapText="1" shrinkToFit="1"/>
      <protection locked="0"/>
    </xf>
    <xf numFmtId="0" fontId="5" fillId="3" borderId="58" xfId="0" applyFont="1" applyFill="1" applyBorder="1" applyAlignment="1" applyProtection="1">
      <alignment horizontal="center" vertical="center" wrapText="1" shrinkToFit="1"/>
      <protection locked="0"/>
    </xf>
    <xf numFmtId="0" fontId="12" fillId="6" borderId="0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8" fillId="6" borderId="0" xfId="0" applyFont="1" applyFill="1" applyBorder="1" applyAlignment="1">
      <alignment horizontal="left" vertical="center"/>
    </xf>
    <xf numFmtId="0" fontId="12" fillId="6" borderId="0" xfId="0" applyFont="1" applyFill="1">
      <alignment vertical="center"/>
    </xf>
    <xf numFmtId="0" fontId="12" fillId="6" borderId="0" xfId="0" applyFont="1" applyFill="1" applyBorder="1" applyAlignment="1">
      <alignment vertical="center" shrinkToFit="1"/>
    </xf>
    <xf numFmtId="0" fontId="16" fillId="6" borderId="0" xfId="1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 wrapText="1"/>
    </xf>
    <xf numFmtId="176" fontId="12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177" fontId="0" fillId="6" borderId="0" xfId="0" applyNumberFormat="1" applyFont="1" applyFill="1" applyBorder="1">
      <alignment vertical="center"/>
    </xf>
    <xf numFmtId="0" fontId="0" fillId="6" borderId="0" xfId="0" applyNumberFormat="1" applyFont="1" applyFill="1" applyBorder="1">
      <alignment vertical="center"/>
    </xf>
    <xf numFmtId="0" fontId="12" fillId="6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2" fillId="6" borderId="0" xfId="0" applyFont="1" applyFill="1" applyBorder="1" applyAlignment="1">
      <alignment horizontal="center" vertical="center" wrapText="1" shrinkToFit="1"/>
    </xf>
    <xf numFmtId="0" fontId="4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vertical="center"/>
    </xf>
    <xf numFmtId="177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right" vertical="center"/>
    </xf>
    <xf numFmtId="0" fontId="9" fillId="6" borderId="0" xfId="0" applyFont="1" applyFill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7" fillId="6" borderId="0" xfId="0" applyFont="1" applyFill="1">
      <alignment vertical="center"/>
    </xf>
    <xf numFmtId="0" fontId="7" fillId="6" borderId="16" xfId="0" applyNumberFormat="1" applyFont="1" applyFill="1" applyBorder="1" applyAlignment="1">
      <alignment horizontal="center" vertical="center"/>
    </xf>
    <xf numFmtId="0" fontId="7" fillId="6" borderId="17" xfId="0" applyNumberFormat="1" applyFont="1" applyFill="1" applyBorder="1" applyAlignment="1">
      <alignment horizontal="center" vertical="center"/>
    </xf>
    <xf numFmtId="0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NumberFormat="1" applyFont="1" applyFill="1" applyBorder="1" applyAlignment="1">
      <alignment horizontal="center" vertical="center" wrapText="1"/>
    </xf>
    <xf numFmtId="0" fontId="7" fillId="6" borderId="26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right" vertical="center"/>
    </xf>
    <xf numFmtId="177" fontId="0" fillId="6" borderId="0" xfId="0" applyNumberFormat="1" applyFont="1" applyFill="1">
      <alignment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176" fontId="12" fillId="6" borderId="0" xfId="0" applyNumberFormat="1" applyFont="1" applyFill="1" applyBorder="1" applyAlignment="1">
      <alignment vertical="center"/>
    </xf>
    <xf numFmtId="0" fontId="0" fillId="6" borderId="0" xfId="0" applyFont="1" applyFill="1" applyBorder="1" applyAlignment="1">
      <alignment horizontal="right" vertical="center"/>
    </xf>
    <xf numFmtId="0" fontId="7" fillId="6" borderId="5" xfId="0" applyNumberFormat="1" applyFont="1" applyFill="1" applyBorder="1" applyAlignment="1">
      <alignment horizontal="center" vertical="center" wrapText="1"/>
    </xf>
    <xf numFmtId="56" fontId="5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28" xfId="0" applyFont="1" applyFill="1" applyBorder="1" applyAlignment="1" applyProtection="1">
      <alignment horizontal="center" vertical="center"/>
      <protection locked="0"/>
    </xf>
    <xf numFmtId="0" fontId="7" fillId="7" borderId="43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7" fillId="7" borderId="29" xfId="0" applyFont="1" applyFill="1" applyBorder="1" applyAlignment="1" applyProtection="1">
      <alignment horizontal="center" vertical="center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7" fillId="7" borderId="2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4" xfId="0" applyFont="1" applyFill="1" applyBorder="1" applyAlignment="1" applyProtection="1">
      <alignment horizontal="center" vertical="center"/>
      <protection locked="0"/>
    </xf>
    <xf numFmtId="0" fontId="7" fillId="7" borderId="42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5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55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 wrapText="1" shrinkToFit="1"/>
      <protection locked="0"/>
    </xf>
    <xf numFmtId="0" fontId="5" fillId="3" borderId="11" xfId="0" applyFont="1" applyFill="1" applyBorder="1" applyAlignment="1" applyProtection="1">
      <alignment horizontal="center" vertical="center" wrapText="1" shrinkToFit="1"/>
      <protection locked="0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15" xfId="0" applyFont="1" applyFill="1" applyBorder="1" applyAlignment="1" applyProtection="1">
      <alignment horizontal="center" vertical="center" wrapText="1" shrinkToFit="1"/>
      <protection locked="0"/>
    </xf>
    <xf numFmtId="0" fontId="5" fillId="3" borderId="51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 wrapText="1" shrinkToFit="1"/>
      <protection locked="0"/>
    </xf>
    <xf numFmtId="176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57" xfId="0" applyFont="1" applyBorder="1" applyAlignment="1">
      <alignment horizontal="center" vertical="center" wrapText="1" shrinkToFit="1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176" fontId="13" fillId="5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left" vertical="center"/>
    </xf>
    <xf numFmtId="0" fontId="0" fillId="0" borderId="4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 wrapText="1"/>
    </xf>
    <xf numFmtId="0" fontId="0" fillId="6" borderId="66" xfId="0" applyFont="1" applyFill="1" applyBorder="1" applyAlignment="1">
      <alignment horizontal="center" vertical="center" wrapText="1"/>
    </xf>
    <xf numFmtId="0" fontId="0" fillId="6" borderId="6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 wrapText="1" shrinkToFit="1"/>
    </xf>
    <xf numFmtId="0" fontId="5" fillId="0" borderId="64" xfId="0" applyFont="1" applyBorder="1" applyAlignment="1">
      <alignment horizontal="center" vertical="center" wrapText="1" shrinkToFit="1"/>
    </xf>
    <xf numFmtId="0" fontId="5" fillId="0" borderId="7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12" fillId="6" borderId="13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left" vertical="center"/>
    </xf>
    <xf numFmtId="58" fontId="13" fillId="6" borderId="13" xfId="0" applyNumberFormat="1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right" vertical="center"/>
    </xf>
    <xf numFmtId="58" fontId="13" fillId="6" borderId="13" xfId="0" applyNumberFormat="1" applyFont="1" applyFill="1" applyBorder="1" applyAlignment="1">
      <alignment horizontal="center" vertical="center"/>
    </xf>
    <xf numFmtId="0" fontId="5" fillId="3" borderId="58" xfId="0" applyFont="1" applyFill="1" applyBorder="1" applyAlignment="1" applyProtection="1">
      <alignment horizontal="center" vertical="center" wrapText="1" shrinkToFit="1"/>
      <protection locked="0"/>
    </xf>
    <xf numFmtId="0" fontId="5" fillId="3" borderId="17" xfId="0" applyFont="1" applyFill="1" applyBorder="1" applyAlignment="1" applyProtection="1">
      <alignment horizontal="center" vertical="center" wrapText="1" shrinkToFit="1"/>
      <protection locked="0"/>
    </xf>
    <xf numFmtId="0" fontId="5" fillId="3" borderId="44" xfId="0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>
      <alignment horizontal="center" vertical="center" wrapText="1" shrinkToFit="1"/>
    </xf>
    <xf numFmtId="0" fontId="12" fillId="6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shrinkToFit="1"/>
    </xf>
    <xf numFmtId="176" fontId="12" fillId="6" borderId="12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28">
    <dxf>
      <fill>
        <patternFill>
          <bgColor theme="6" tint="0.39994506668294322"/>
        </patternFill>
      </fill>
    </dxf>
    <dxf>
      <border>
        <left style="thin">
          <color indexed="64"/>
        </left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0" tint="-0.24994659260841701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22"/>
        </patternFill>
      </fill>
    </dxf>
    <dxf>
      <border>
        <left style="thin">
          <color indexed="64"/>
        </left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11</xdr:row>
      <xdr:rowOff>19050</xdr:rowOff>
    </xdr:from>
    <xdr:to>
      <xdr:col>43</xdr:col>
      <xdr:colOff>161926</xdr:colOff>
      <xdr:row>114</xdr:row>
      <xdr:rowOff>28576</xdr:rowOff>
    </xdr:to>
    <xdr:sp macro="" textlink="">
      <xdr:nvSpPr>
        <xdr:cNvPr id="19" name="正方形/長方形 18"/>
        <xdr:cNvSpPr/>
      </xdr:nvSpPr>
      <xdr:spPr>
        <a:xfrm>
          <a:off x="6829426" y="2143125"/>
          <a:ext cx="5924550" cy="18630901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9525</xdr:colOff>
      <xdr:row>11</xdr:row>
      <xdr:rowOff>19050</xdr:rowOff>
    </xdr:from>
    <xdr:to>
      <xdr:col>96</xdr:col>
      <xdr:colOff>9525</xdr:colOff>
      <xdr:row>114</xdr:row>
      <xdr:rowOff>28576</xdr:rowOff>
    </xdr:to>
    <xdr:sp macro="" textlink="">
      <xdr:nvSpPr>
        <xdr:cNvPr id="22" name="正方形/長方形 21"/>
        <xdr:cNvSpPr/>
      </xdr:nvSpPr>
      <xdr:spPr>
        <a:xfrm>
          <a:off x="12801600" y="2143125"/>
          <a:ext cx="4686300" cy="18630901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342899</xdr:colOff>
      <xdr:row>2</xdr:row>
      <xdr:rowOff>247649</xdr:rowOff>
    </xdr:from>
    <xdr:to>
      <xdr:col>14</xdr:col>
      <xdr:colOff>19050</xdr:colOff>
      <xdr:row>6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2</xdr:row>
      <xdr:rowOff>209550</xdr:rowOff>
    </xdr:from>
    <xdr:to>
      <xdr:col>6</xdr:col>
      <xdr:colOff>228600</xdr:colOff>
      <xdr:row>7</xdr:row>
      <xdr:rowOff>38100</xdr:rowOff>
    </xdr:to>
    <xdr:sp macro="" textlink="">
      <xdr:nvSpPr>
        <xdr:cNvPr id="7" name="正方形/長方形 6"/>
        <xdr:cNvSpPr/>
      </xdr:nvSpPr>
      <xdr:spPr>
        <a:xfrm>
          <a:off x="28575" y="895350"/>
          <a:ext cx="3114675" cy="10287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11</xdr:row>
      <xdr:rowOff>19050</xdr:rowOff>
    </xdr:from>
    <xdr:to>
      <xdr:col>13</xdr:col>
      <xdr:colOff>771525</xdr:colOff>
      <xdr:row>114</xdr:row>
      <xdr:rowOff>28574</xdr:rowOff>
    </xdr:to>
    <xdr:sp macro="" textlink="">
      <xdr:nvSpPr>
        <xdr:cNvPr id="17" name="正方形/長方形 16"/>
        <xdr:cNvSpPr/>
      </xdr:nvSpPr>
      <xdr:spPr>
        <a:xfrm>
          <a:off x="200025" y="2143125"/>
          <a:ext cx="6562725" cy="18630899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695325</xdr:colOff>
      <xdr:row>3</xdr:row>
      <xdr:rowOff>190500</xdr:rowOff>
    </xdr:from>
    <xdr:to>
      <xdr:col>87</xdr:col>
      <xdr:colOff>190500</xdr:colOff>
      <xdr:row>5</xdr:row>
      <xdr:rowOff>66674</xdr:rowOff>
    </xdr:to>
    <xdr:sp macro="" textlink="">
      <xdr:nvSpPr>
        <xdr:cNvPr id="15" name="正方形/長方形 14"/>
        <xdr:cNvSpPr/>
      </xdr:nvSpPr>
      <xdr:spPr>
        <a:xfrm>
          <a:off x="14325600" y="1123950"/>
          <a:ext cx="3086100" cy="352424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19</xdr:row>
      <xdr:rowOff>85724</xdr:rowOff>
    </xdr:from>
    <xdr:to>
      <xdr:col>24</xdr:col>
      <xdr:colOff>47626</xdr:colOff>
      <xdr:row>46</xdr:row>
      <xdr:rowOff>76200</xdr:rowOff>
    </xdr:to>
    <xdr:sp macro="" textlink="">
      <xdr:nvSpPr>
        <xdr:cNvPr id="42" name="正方形/長方形 41"/>
        <xdr:cNvSpPr/>
      </xdr:nvSpPr>
      <xdr:spPr>
        <a:xfrm>
          <a:off x="238125" y="3333749"/>
          <a:ext cx="8601076" cy="51339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入力方法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①「施設名」「疾患名」「入院者数」 「職員者数」「初発患者発生日」を入力してください。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②「報告年月日」を入力してください。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③各患者の「病棟」「部屋番号」「氏名」「年齢」「結果判明日」「診断日」「症状」を入力してください。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「性別」「検査結果」については、プルダウンをクリックすると選択肢が表示されるため、該当するものを選択してください。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「症状」は各患者の主な症状をご記入ください。また、症状軽快後も「症状」欄の記載は消去する必要はありません。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④患者別の日別の症状の有無をご記入ください。何らかの症状があれば「○」を選択してください。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補足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①で初発患者発生日を入力すると、発生日を起点に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日間表示されます。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日で終息しない場合は、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AS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BV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列を表示することで最大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日間入力ができます。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②で報告年月日を入力すると、その日が濃緑色で強調されます。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⑤療養期間が終了した患者が発生した場合「療養解除日」を、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当該感染症に罹患後死亡した患者が発生した場合「死亡日」をご記入ください。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また、その他特記事項がありましたら、「備考」にその旨ご記入ください。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⑥以上で、入院患者の発生状況の入力は終了となります。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次に、「記載様式（職員）」シートから職員の発生状況を入力してください。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職員の発生状況の入力方法については、「入力方法（職員）」シートをご確認ください。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19051</xdr:colOff>
      <xdr:row>0</xdr:row>
      <xdr:rowOff>0</xdr:rowOff>
    </xdr:from>
    <xdr:to>
      <xdr:col>1</xdr:col>
      <xdr:colOff>352425</xdr:colOff>
      <xdr:row>2</xdr:row>
      <xdr:rowOff>161924</xdr:rowOff>
    </xdr:to>
    <xdr:sp macro="" textlink="">
      <xdr:nvSpPr>
        <xdr:cNvPr id="43" name="正方形/長方形 42"/>
        <xdr:cNvSpPr/>
      </xdr:nvSpPr>
      <xdr:spPr>
        <a:xfrm>
          <a:off x="19051" y="0"/>
          <a:ext cx="561974" cy="1619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①</a:t>
          </a:r>
        </a:p>
      </xdr:txBody>
    </xdr:sp>
    <xdr:clientData/>
  </xdr:twoCellAnchor>
  <xdr:twoCellAnchor>
    <xdr:from>
      <xdr:col>75</xdr:col>
      <xdr:colOff>676275</xdr:colOff>
      <xdr:row>1</xdr:row>
      <xdr:rowOff>95250</xdr:rowOff>
    </xdr:from>
    <xdr:to>
      <xdr:col>77</xdr:col>
      <xdr:colOff>219074</xdr:colOff>
      <xdr:row>3</xdr:row>
      <xdr:rowOff>180974</xdr:rowOff>
    </xdr:to>
    <xdr:sp macro="" textlink="">
      <xdr:nvSpPr>
        <xdr:cNvPr id="12" name="正方形/長方形 11"/>
        <xdr:cNvSpPr/>
      </xdr:nvSpPr>
      <xdr:spPr>
        <a:xfrm>
          <a:off x="14306550" y="609600"/>
          <a:ext cx="561974" cy="5048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②</a:t>
          </a:r>
        </a:p>
      </xdr:txBody>
    </xdr:sp>
    <xdr:clientData/>
  </xdr:twoCellAnchor>
  <xdr:twoCellAnchor>
    <xdr:from>
      <xdr:col>0</xdr:col>
      <xdr:colOff>0</xdr:colOff>
      <xdr:row>7</xdr:row>
      <xdr:rowOff>228600</xdr:rowOff>
    </xdr:from>
    <xdr:to>
      <xdr:col>1</xdr:col>
      <xdr:colOff>333374</xdr:colOff>
      <xdr:row>13</xdr:row>
      <xdr:rowOff>152399</xdr:rowOff>
    </xdr:to>
    <xdr:sp macro="" textlink="">
      <xdr:nvSpPr>
        <xdr:cNvPr id="13" name="正方形/長方形 12"/>
        <xdr:cNvSpPr/>
      </xdr:nvSpPr>
      <xdr:spPr>
        <a:xfrm>
          <a:off x="0" y="2114550"/>
          <a:ext cx="561974" cy="5048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③</a:t>
          </a:r>
        </a:p>
      </xdr:txBody>
    </xdr:sp>
    <xdr:clientData/>
  </xdr:twoCellAnchor>
  <xdr:twoCellAnchor>
    <xdr:from>
      <xdr:col>14</xdr:col>
      <xdr:colOff>9525</xdr:colOff>
      <xdr:row>5</xdr:row>
      <xdr:rowOff>180975</xdr:rowOff>
    </xdr:from>
    <xdr:to>
      <xdr:col>16</xdr:col>
      <xdr:colOff>171449</xdr:colOff>
      <xdr:row>7</xdr:row>
      <xdr:rowOff>209549</xdr:rowOff>
    </xdr:to>
    <xdr:sp macro="" textlink="">
      <xdr:nvSpPr>
        <xdr:cNvPr id="14" name="正方形/長方形 13"/>
        <xdr:cNvSpPr/>
      </xdr:nvSpPr>
      <xdr:spPr>
        <a:xfrm>
          <a:off x="6800850" y="1590675"/>
          <a:ext cx="561974" cy="50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④</a:t>
          </a:r>
        </a:p>
      </xdr:txBody>
    </xdr:sp>
    <xdr:clientData/>
  </xdr:twoCellAnchor>
  <xdr:twoCellAnchor>
    <xdr:from>
      <xdr:col>74</xdr:col>
      <xdr:colOff>28575</xdr:colOff>
      <xdr:row>5</xdr:row>
      <xdr:rowOff>209550</xdr:rowOff>
    </xdr:from>
    <xdr:to>
      <xdr:col>74</xdr:col>
      <xdr:colOff>590549</xdr:colOff>
      <xdr:row>7</xdr:row>
      <xdr:rowOff>238124</xdr:rowOff>
    </xdr:to>
    <xdr:sp macro="" textlink="">
      <xdr:nvSpPr>
        <xdr:cNvPr id="16" name="正方形/長方形 15"/>
        <xdr:cNvSpPr/>
      </xdr:nvSpPr>
      <xdr:spPr>
        <a:xfrm>
          <a:off x="12820650" y="1619250"/>
          <a:ext cx="561974" cy="504824"/>
        </a:xfrm>
        <a:prstGeom prst="rect">
          <a:avLst/>
        </a:prstGeom>
        <a:solidFill>
          <a:srgbClr val="FFF0F5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⑤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7</xdr:col>
      <xdr:colOff>19050</xdr:colOff>
      <xdr:row>4</xdr:row>
      <xdr:rowOff>219075</xdr:rowOff>
    </xdr:to>
    <xdr:sp macro="" textlink="">
      <xdr:nvSpPr>
        <xdr:cNvPr id="16" name="正方形/長方形 15"/>
        <xdr:cNvSpPr/>
      </xdr:nvSpPr>
      <xdr:spPr>
        <a:xfrm>
          <a:off x="19050" y="257175"/>
          <a:ext cx="3152775" cy="923925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/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190500</xdr:colOff>
      <xdr:row>5</xdr:row>
      <xdr:rowOff>209550</xdr:rowOff>
    </xdr:from>
    <xdr:to>
      <xdr:col>13</xdr:col>
      <xdr:colOff>762000</xdr:colOff>
      <xdr:row>111</xdr:row>
      <xdr:rowOff>152400</xdr:rowOff>
    </xdr:to>
    <xdr:sp macro="" textlink="">
      <xdr:nvSpPr>
        <xdr:cNvPr id="4" name="正方形/長方形 3"/>
        <xdr:cNvSpPr/>
      </xdr:nvSpPr>
      <xdr:spPr>
        <a:xfrm>
          <a:off x="190500" y="1409700"/>
          <a:ext cx="6562725" cy="1793557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5</xdr:row>
      <xdr:rowOff>209551</xdr:rowOff>
    </xdr:from>
    <xdr:to>
      <xdr:col>43</xdr:col>
      <xdr:colOff>180975</xdr:colOff>
      <xdr:row>111</xdr:row>
      <xdr:rowOff>161926</xdr:rowOff>
    </xdr:to>
    <xdr:sp macro="" textlink="">
      <xdr:nvSpPr>
        <xdr:cNvPr id="6" name="正方形/長方形 5"/>
        <xdr:cNvSpPr/>
      </xdr:nvSpPr>
      <xdr:spPr>
        <a:xfrm>
          <a:off x="6848475" y="1409701"/>
          <a:ext cx="5924550" cy="179451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38100</xdr:colOff>
      <xdr:row>5</xdr:row>
      <xdr:rowOff>190500</xdr:rowOff>
    </xdr:from>
    <xdr:to>
      <xdr:col>85</xdr:col>
      <xdr:colOff>228600</xdr:colOff>
      <xdr:row>111</xdr:row>
      <xdr:rowOff>171450</xdr:rowOff>
    </xdr:to>
    <xdr:sp macro="" textlink="">
      <xdr:nvSpPr>
        <xdr:cNvPr id="11" name="正方形/長方形 10"/>
        <xdr:cNvSpPr/>
      </xdr:nvSpPr>
      <xdr:spPr>
        <a:xfrm>
          <a:off x="12830175" y="1390650"/>
          <a:ext cx="3019425" cy="1797367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180975</xdr:colOff>
      <xdr:row>5</xdr:row>
      <xdr:rowOff>209551</xdr:rowOff>
    </xdr:from>
    <xdr:to>
      <xdr:col>98</xdr:col>
      <xdr:colOff>47625</xdr:colOff>
      <xdr:row>37</xdr:row>
      <xdr:rowOff>28576</xdr:rowOff>
    </xdr:to>
    <xdr:sp macro="" textlink="">
      <xdr:nvSpPr>
        <xdr:cNvPr id="12" name="正方形/長方形 11"/>
        <xdr:cNvSpPr/>
      </xdr:nvSpPr>
      <xdr:spPr>
        <a:xfrm>
          <a:off x="16059150" y="1409701"/>
          <a:ext cx="5676900" cy="512445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228599</xdr:colOff>
      <xdr:row>17</xdr:row>
      <xdr:rowOff>152400</xdr:rowOff>
    </xdr:from>
    <xdr:to>
      <xdr:col>30</xdr:col>
      <xdr:colOff>171450</xdr:colOff>
      <xdr:row>47</xdr:row>
      <xdr:rowOff>19050</xdr:rowOff>
    </xdr:to>
    <xdr:sp macro="" textlink="">
      <xdr:nvSpPr>
        <xdr:cNvPr id="14" name="正方形/長方形 13"/>
        <xdr:cNvSpPr/>
      </xdr:nvSpPr>
      <xdr:spPr>
        <a:xfrm>
          <a:off x="228599" y="3057525"/>
          <a:ext cx="9934576" cy="5181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入力方法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⑦各患者の「病棟」「職種」「氏名」「年齢」「結果判明日」「診断日」「症状」を入力してください。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「性別」「検査結果」については、プルダウンをクリックすると選択肢が表示されるため、該当するものを選択してください。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「症状」は各患者の主な症状をご記入ください。また、症状軽快後も「症状」欄の記載は消去する必要はありません。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⑧患者別の日別の症状の有無をご記入ください。何らかの症状があれば「○」を選択してください。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補足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①で初発患者発生日を入力すると、発生日を起点に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日間表示されます。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日で終息しない場合は、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AS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BV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列を表示することで最大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日間入力ができます。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②で報告年月日を入力すると、その日が濃緑色で強調されます。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⑨その他特記事項がありましたら、「備考」にその旨ご記入ください。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⑩以上で、本エクセルの入力は終了となります。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本エクセルで入力いただいた内容をもとに、発生人数などを自動的に計算し表示していますので、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Web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での報告時にお使いください。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自動的に計算される項目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・新型コロナウイルス感染症以外：病棟別の有症状者数（累計）、死亡者数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・新型コロナウイルス感染症　　　：病棟別の陽性者数（累計）、死亡者数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「施設名」「疾患名」「入院者数」 「職員者数」「初発患者発生日」「報告年月日」は入力不要です。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（記載様式（入院患者）で入力いただいた内容を自動的に入力しています。）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161925</xdr:colOff>
      <xdr:row>3</xdr:row>
      <xdr:rowOff>171450</xdr:rowOff>
    </xdr:from>
    <xdr:to>
      <xdr:col>1</xdr:col>
      <xdr:colOff>495299</xdr:colOff>
      <xdr:row>5</xdr:row>
      <xdr:rowOff>200024</xdr:rowOff>
    </xdr:to>
    <xdr:sp macro="" textlink="">
      <xdr:nvSpPr>
        <xdr:cNvPr id="19" name="正方形/長方形 18"/>
        <xdr:cNvSpPr/>
      </xdr:nvSpPr>
      <xdr:spPr>
        <a:xfrm>
          <a:off x="161925" y="895350"/>
          <a:ext cx="561974" cy="5048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⑦</a:t>
          </a:r>
        </a:p>
      </xdr:txBody>
    </xdr:sp>
    <xdr:clientData/>
  </xdr:twoCellAnchor>
  <xdr:twoCellAnchor>
    <xdr:from>
      <xdr:col>14</xdr:col>
      <xdr:colOff>76200</xdr:colOff>
      <xdr:row>3</xdr:row>
      <xdr:rowOff>123825</xdr:rowOff>
    </xdr:from>
    <xdr:to>
      <xdr:col>17</xdr:col>
      <xdr:colOff>38099</xdr:colOff>
      <xdr:row>5</xdr:row>
      <xdr:rowOff>152399</xdr:rowOff>
    </xdr:to>
    <xdr:sp macro="" textlink="">
      <xdr:nvSpPr>
        <xdr:cNvPr id="20" name="正方形/長方形 19"/>
        <xdr:cNvSpPr/>
      </xdr:nvSpPr>
      <xdr:spPr>
        <a:xfrm>
          <a:off x="6867525" y="847725"/>
          <a:ext cx="561974" cy="50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⑧</a:t>
          </a:r>
        </a:p>
      </xdr:txBody>
    </xdr:sp>
    <xdr:clientData/>
  </xdr:twoCellAnchor>
  <xdr:twoCellAnchor>
    <xdr:from>
      <xdr:col>44</xdr:col>
      <xdr:colOff>0</xdr:colOff>
      <xdr:row>3</xdr:row>
      <xdr:rowOff>114300</xdr:rowOff>
    </xdr:from>
    <xdr:to>
      <xdr:col>76</xdr:col>
      <xdr:colOff>47624</xdr:colOff>
      <xdr:row>5</xdr:row>
      <xdr:rowOff>142874</xdr:rowOff>
    </xdr:to>
    <xdr:sp macro="" textlink="">
      <xdr:nvSpPr>
        <xdr:cNvPr id="21" name="正方形/長方形 20"/>
        <xdr:cNvSpPr/>
      </xdr:nvSpPr>
      <xdr:spPr>
        <a:xfrm>
          <a:off x="12792075" y="838200"/>
          <a:ext cx="561974" cy="504824"/>
        </a:xfrm>
        <a:prstGeom prst="rect">
          <a:avLst/>
        </a:prstGeom>
        <a:solidFill>
          <a:srgbClr val="FFF0F5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⑨</a:t>
          </a:r>
        </a:p>
      </xdr:txBody>
    </xdr:sp>
    <xdr:clientData/>
  </xdr:twoCellAnchor>
  <xdr:twoCellAnchor>
    <xdr:from>
      <xdr:col>90</xdr:col>
      <xdr:colOff>171450</xdr:colOff>
      <xdr:row>3</xdr:row>
      <xdr:rowOff>142875</xdr:rowOff>
    </xdr:from>
    <xdr:to>
      <xdr:col>91</xdr:col>
      <xdr:colOff>533399</xdr:colOff>
      <xdr:row>5</xdr:row>
      <xdr:rowOff>171449</xdr:rowOff>
    </xdr:to>
    <xdr:sp macro="" textlink="">
      <xdr:nvSpPr>
        <xdr:cNvPr id="22" name="正方形/長方形 21"/>
        <xdr:cNvSpPr/>
      </xdr:nvSpPr>
      <xdr:spPr>
        <a:xfrm>
          <a:off x="16049625" y="866775"/>
          <a:ext cx="561974" cy="504824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⑩</a:t>
          </a:r>
        </a:p>
      </xdr:txBody>
    </xdr:sp>
    <xdr:clientData/>
  </xdr:twoCellAnchor>
  <xdr:twoCellAnchor>
    <xdr:from>
      <xdr:col>43</xdr:col>
      <xdr:colOff>180975</xdr:colOff>
      <xdr:row>0</xdr:row>
      <xdr:rowOff>133350</xdr:rowOff>
    </xdr:from>
    <xdr:to>
      <xdr:col>79</xdr:col>
      <xdr:colOff>200025</xdr:colOff>
      <xdr:row>1</xdr:row>
      <xdr:rowOff>228601</xdr:rowOff>
    </xdr:to>
    <xdr:sp macro="" textlink="">
      <xdr:nvSpPr>
        <xdr:cNvPr id="15" name="正方形/長方形 14"/>
        <xdr:cNvSpPr/>
      </xdr:nvSpPr>
      <xdr:spPr>
        <a:xfrm>
          <a:off x="12773025" y="133350"/>
          <a:ext cx="1504950" cy="3429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※</a:t>
          </a:r>
          <a:r>
            <a:rPr kumimoji="1" lang="ja-JP" altLang="en-US" sz="1800">
              <a:solidFill>
                <a:schemeClr val="tx1"/>
              </a:solidFill>
            </a:rPr>
            <a:t>入力不要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219074</xdr:colOff>
      <xdr:row>1</xdr:row>
      <xdr:rowOff>123825</xdr:rowOff>
    </xdr:to>
    <xdr:sp macro="" textlink="">
      <xdr:nvSpPr>
        <xdr:cNvPr id="17" name="正方形/長方形 16"/>
        <xdr:cNvSpPr/>
      </xdr:nvSpPr>
      <xdr:spPr>
        <a:xfrm>
          <a:off x="0" y="0"/>
          <a:ext cx="1495424" cy="3714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※</a:t>
          </a:r>
          <a:r>
            <a:rPr kumimoji="1" lang="ja-JP" altLang="en-US" sz="1800">
              <a:solidFill>
                <a:schemeClr val="tx1"/>
              </a:solidFill>
            </a:rPr>
            <a:t>入力不要</a:t>
          </a:r>
        </a:p>
      </xdr:txBody>
    </xdr:sp>
    <xdr:clientData/>
  </xdr:twoCellAnchor>
  <xdr:twoCellAnchor>
    <xdr:from>
      <xdr:col>44</xdr:col>
      <xdr:colOff>0</xdr:colOff>
      <xdr:row>1</xdr:row>
      <xdr:rowOff>228601</xdr:rowOff>
    </xdr:from>
    <xdr:to>
      <xdr:col>85</xdr:col>
      <xdr:colOff>247650</xdr:colOff>
      <xdr:row>3</xdr:row>
      <xdr:rowOff>9525</xdr:rowOff>
    </xdr:to>
    <xdr:sp macro="" textlink="">
      <xdr:nvSpPr>
        <xdr:cNvPr id="18" name="正方形/長方形 17"/>
        <xdr:cNvSpPr/>
      </xdr:nvSpPr>
      <xdr:spPr>
        <a:xfrm>
          <a:off x="12792075" y="476251"/>
          <a:ext cx="3076575" cy="257174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Z112"/>
  <sheetViews>
    <sheetView tabSelected="1" view="pageBreakPreview" zoomScaleNormal="100" zoomScaleSheetLayoutView="100" zoomScalePageLayoutView="110" workbookViewId="0"/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bestFit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4" width="2.625" style="1" hidden="1" customWidth="1"/>
    <col min="75" max="75" width="11" style="1" customWidth="1"/>
    <col min="76" max="76" width="10" style="1" customWidth="1"/>
    <col min="77" max="88" width="3.375" style="1" customWidth="1"/>
    <col min="89" max="89" width="5.875" style="9" hidden="1" customWidth="1"/>
    <col min="90" max="90" width="5.875" style="25" hidden="1" customWidth="1"/>
    <col min="91" max="92" width="5.875" style="31" hidden="1" customWidth="1"/>
    <col min="93" max="94" width="5.875" style="25" hidden="1" customWidth="1"/>
    <col min="95" max="95" width="6.75" style="1" hidden="1" customWidth="1"/>
    <col min="96" max="96" width="0" style="1" hidden="1" customWidth="1"/>
    <col min="97" max="97" width="2.625" style="166" hidden="1" customWidth="1"/>
    <col min="98" max="98" width="17" style="1" hidden="1" customWidth="1"/>
    <col min="99" max="100" width="9" style="1" hidden="1" customWidth="1"/>
    <col min="101" max="101" width="3.625" style="1" hidden="1" customWidth="1"/>
    <col min="102" max="102" width="17" style="1" hidden="1" customWidth="1"/>
    <col min="103" max="104" width="9" style="1" hidden="1" customWidth="1"/>
    <col min="105" max="16384" width="9" style="1"/>
  </cols>
  <sheetData>
    <row r="1" spans="1:104" s="166" customFormat="1" ht="19.5" customHeight="1" x14ac:dyDescent="0.15">
      <c r="A1" s="168" t="s">
        <v>83</v>
      </c>
      <c r="U1" s="174" t="s">
        <v>61</v>
      </c>
      <c r="CB1" s="175"/>
      <c r="CC1" s="176"/>
      <c r="CD1" s="176"/>
      <c r="CE1" s="176"/>
      <c r="CF1" s="176"/>
      <c r="CG1" s="176"/>
      <c r="CH1" s="176"/>
      <c r="CI1" s="176"/>
      <c r="CK1" s="177"/>
      <c r="CL1" s="178"/>
      <c r="CM1" s="179"/>
      <c r="CN1" s="179"/>
      <c r="CO1" s="178"/>
      <c r="CP1" s="178"/>
    </row>
    <row r="2" spans="1:104" ht="18.75" customHeight="1" thickBot="1" x14ac:dyDescent="0.2">
      <c r="A2" s="229" t="s">
        <v>13</v>
      </c>
      <c r="B2" s="229"/>
      <c r="C2" s="264"/>
      <c r="D2" s="264"/>
      <c r="E2" s="264"/>
      <c r="F2" s="264"/>
      <c r="G2" s="264"/>
      <c r="H2" s="180"/>
      <c r="I2" s="165" t="s">
        <v>79</v>
      </c>
      <c r="J2" s="166"/>
      <c r="K2" s="165"/>
      <c r="L2" s="167"/>
      <c r="M2" s="165"/>
      <c r="N2" s="167"/>
      <c r="O2" s="181"/>
      <c r="P2" s="181"/>
      <c r="Q2" s="181"/>
      <c r="R2" s="166"/>
      <c r="S2" s="181"/>
      <c r="T2" s="181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66"/>
      <c r="CB2" s="176"/>
      <c r="CC2" s="176"/>
      <c r="CD2" s="176"/>
      <c r="CE2" s="176"/>
      <c r="CF2" s="176"/>
      <c r="CG2" s="176"/>
      <c r="CH2" s="176"/>
      <c r="CI2" s="176"/>
      <c r="CJ2" s="166"/>
      <c r="CK2" s="177"/>
      <c r="CL2" s="178"/>
      <c r="CM2" s="179"/>
      <c r="CN2" s="179"/>
      <c r="CO2" s="178"/>
      <c r="CP2" s="178"/>
      <c r="CQ2" s="166"/>
      <c r="CR2" s="166"/>
      <c r="CT2" s="166"/>
      <c r="CU2" s="166"/>
      <c r="CV2" s="166"/>
      <c r="CW2" s="166"/>
      <c r="CX2" s="166"/>
      <c r="CY2" s="166"/>
      <c r="CZ2" s="166"/>
    </row>
    <row r="3" spans="1:104" ht="18.75" customHeight="1" thickBot="1" x14ac:dyDescent="0.2">
      <c r="A3" s="230" t="s">
        <v>74</v>
      </c>
      <c r="B3" s="230"/>
      <c r="C3" s="265"/>
      <c r="D3" s="265"/>
      <c r="E3" s="265"/>
      <c r="F3" s="265"/>
      <c r="G3" s="265"/>
      <c r="H3" s="182"/>
      <c r="I3" s="168" t="s">
        <v>80</v>
      </c>
      <c r="J3" s="166"/>
      <c r="K3" s="166"/>
      <c r="L3" s="166"/>
      <c r="M3" s="166"/>
      <c r="N3" s="167"/>
      <c r="O3" s="183"/>
      <c r="P3" s="183"/>
      <c r="Q3" s="183"/>
      <c r="R3" s="183"/>
      <c r="S3" s="183"/>
      <c r="T3" s="183"/>
      <c r="U3" s="183"/>
      <c r="V3" s="183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4"/>
      <c r="BX3" s="166"/>
      <c r="BY3" s="288" t="s">
        <v>17</v>
      </c>
      <c r="BZ3" s="288"/>
      <c r="CA3" s="288"/>
      <c r="CB3" s="288"/>
      <c r="CC3" s="274"/>
      <c r="CD3" s="274"/>
      <c r="CE3" s="274"/>
      <c r="CF3" s="274"/>
      <c r="CG3" s="274"/>
      <c r="CH3" s="274"/>
      <c r="CI3" s="275" t="s">
        <v>18</v>
      </c>
      <c r="CJ3" s="275"/>
      <c r="CK3" s="16"/>
      <c r="CL3" s="26"/>
      <c r="CM3" s="32"/>
      <c r="CN3" s="32"/>
      <c r="CO3" s="26"/>
      <c r="CP3" s="26"/>
      <c r="CQ3" s="3"/>
      <c r="CT3" s="166"/>
      <c r="CU3" s="166"/>
      <c r="CV3" s="166"/>
      <c r="CW3" s="166"/>
      <c r="CX3" s="166"/>
      <c r="CY3" s="166"/>
      <c r="CZ3" s="166"/>
    </row>
    <row r="4" spans="1:104" s="5" customFormat="1" ht="18.75" customHeight="1" thickBot="1" x14ac:dyDescent="0.2">
      <c r="A4" s="231" t="s">
        <v>62</v>
      </c>
      <c r="B4" s="231"/>
      <c r="C4" s="88"/>
      <c r="D4" s="10" t="s">
        <v>31</v>
      </c>
      <c r="E4" s="188" t="s">
        <v>32</v>
      </c>
      <c r="F4" s="88"/>
      <c r="G4" s="30" t="s">
        <v>39</v>
      </c>
      <c r="H4" s="189"/>
      <c r="I4" s="165" t="s">
        <v>76</v>
      </c>
      <c r="J4" s="169"/>
      <c r="K4" s="170" t="s">
        <v>77</v>
      </c>
      <c r="L4" s="171" t="s">
        <v>78</v>
      </c>
      <c r="M4" s="169"/>
      <c r="N4" s="172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90"/>
      <c r="BX4" s="190"/>
      <c r="BY4" s="177"/>
      <c r="BZ4" s="177"/>
      <c r="CA4" s="183"/>
      <c r="CB4" s="183"/>
      <c r="CC4" s="177"/>
      <c r="CD4" s="177"/>
      <c r="CE4" s="177"/>
      <c r="CF4" s="177"/>
      <c r="CG4" s="177"/>
      <c r="CH4" s="177"/>
      <c r="CI4" s="183"/>
      <c r="CJ4" s="183"/>
      <c r="CK4" s="183"/>
      <c r="CL4" s="185"/>
      <c r="CM4" s="186"/>
      <c r="CN4" s="186"/>
      <c r="CO4" s="185"/>
      <c r="CP4" s="185"/>
      <c r="CQ4" s="177"/>
      <c r="CR4" s="177"/>
      <c r="CS4" s="177"/>
      <c r="CT4" s="177"/>
      <c r="CU4" s="177"/>
      <c r="CV4" s="177"/>
      <c r="CW4" s="177"/>
      <c r="CX4" s="177"/>
      <c r="CY4" s="177"/>
      <c r="CZ4" s="177"/>
    </row>
    <row r="5" spans="1:104" s="5" customFormat="1" ht="18.75" customHeight="1" thickBot="1" x14ac:dyDescent="0.2">
      <c r="A5" s="230" t="s">
        <v>15</v>
      </c>
      <c r="B5" s="230"/>
      <c r="C5" s="230"/>
      <c r="D5" s="266"/>
      <c r="E5" s="266"/>
      <c r="F5" s="266"/>
      <c r="G5" s="266"/>
      <c r="H5" s="173"/>
      <c r="I5" s="165" t="s">
        <v>81</v>
      </c>
      <c r="J5" s="165"/>
      <c r="K5" s="172"/>
      <c r="L5" s="172"/>
      <c r="M5" s="165"/>
      <c r="N5" s="173"/>
      <c r="O5" s="191" t="s">
        <v>72</v>
      </c>
      <c r="P5" s="183"/>
      <c r="Q5" s="183"/>
      <c r="R5" s="183"/>
      <c r="S5" s="183"/>
      <c r="T5" s="183"/>
      <c r="U5" s="183"/>
      <c r="V5" s="183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5"/>
      <c r="CM5" s="186"/>
      <c r="CN5" s="186"/>
      <c r="CO5" s="185"/>
      <c r="CP5" s="185"/>
      <c r="CQ5" s="177"/>
      <c r="CR5" s="177"/>
      <c r="CS5" s="177"/>
      <c r="CT5" s="177"/>
      <c r="CU5" s="177"/>
      <c r="CV5" s="177"/>
      <c r="CW5" s="177"/>
      <c r="CX5" s="177"/>
      <c r="CY5" s="177"/>
      <c r="CZ5" s="177"/>
    </row>
    <row r="6" spans="1:104" s="166" customFormat="1" ht="18.75" customHeight="1" thickBot="1" x14ac:dyDescent="0.2">
      <c r="A6" s="193"/>
      <c r="B6" s="193"/>
      <c r="C6" s="193"/>
      <c r="D6" s="193"/>
      <c r="E6" s="193"/>
      <c r="F6" s="193"/>
      <c r="G6" s="193"/>
      <c r="H6" s="193"/>
      <c r="I6" s="183"/>
      <c r="J6" s="183"/>
      <c r="K6" s="183"/>
      <c r="L6" s="183"/>
      <c r="M6" s="183"/>
      <c r="N6" s="183"/>
      <c r="O6" s="194" t="s">
        <v>6</v>
      </c>
      <c r="P6" s="183"/>
      <c r="Q6" s="183"/>
      <c r="R6" s="183"/>
      <c r="S6" s="183"/>
      <c r="T6" s="183"/>
      <c r="U6" s="183"/>
      <c r="V6" s="183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5"/>
      <c r="CM6" s="186"/>
      <c r="CN6" s="186"/>
      <c r="CO6" s="185"/>
      <c r="CP6" s="185"/>
    </row>
    <row r="7" spans="1:104" ht="15" hidden="1" thickBot="1" x14ac:dyDescent="0.2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14">
        <f>YEAR($D$5)</f>
        <v>1900</v>
      </c>
      <c r="P7" s="14">
        <f>YEAR($D$5+1)</f>
        <v>1900</v>
      </c>
      <c r="Q7" s="14">
        <f>YEAR($D$5+2)</f>
        <v>1900</v>
      </c>
      <c r="R7" s="14">
        <f>YEAR($D$5+3)</f>
        <v>1900</v>
      </c>
      <c r="S7" s="14">
        <f>YEAR($D$5+4)</f>
        <v>1900</v>
      </c>
      <c r="T7" s="14">
        <f>YEAR($D$5+5)</f>
        <v>1900</v>
      </c>
      <c r="U7" s="14">
        <f>YEAR($D$5+6)</f>
        <v>1900</v>
      </c>
      <c r="V7" s="14">
        <f>YEAR($D$5+7)</f>
        <v>1900</v>
      </c>
      <c r="W7" s="14">
        <f>YEAR($D$5+8)</f>
        <v>1900</v>
      </c>
      <c r="X7" s="14">
        <f>YEAR($D$5+9)</f>
        <v>1900</v>
      </c>
      <c r="Y7" s="14">
        <f>YEAR($D$5+10)</f>
        <v>1900</v>
      </c>
      <c r="Z7" s="14">
        <f>YEAR($D$5+11)</f>
        <v>1900</v>
      </c>
      <c r="AA7" s="14">
        <f>YEAR($D$5+12)</f>
        <v>1900</v>
      </c>
      <c r="AB7" s="14">
        <f>YEAR($D$5+13)</f>
        <v>1900</v>
      </c>
      <c r="AC7" s="14">
        <f>YEAR($D$5+14)</f>
        <v>1900</v>
      </c>
      <c r="AD7" s="14">
        <f>YEAR($D$5+15)</f>
        <v>1900</v>
      </c>
      <c r="AE7" s="14">
        <f>YEAR($D$5+16)</f>
        <v>1900</v>
      </c>
      <c r="AF7" s="14">
        <f>YEAR($D$5+17)</f>
        <v>1900</v>
      </c>
      <c r="AG7" s="14">
        <f>YEAR($D$5+18)</f>
        <v>1900</v>
      </c>
      <c r="AH7" s="14">
        <f>YEAR($D$5+19)</f>
        <v>1900</v>
      </c>
      <c r="AI7" s="14">
        <f>YEAR($D$5+20)</f>
        <v>1900</v>
      </c>
      <c r="AJ7" s="14">
        <f>YEAR($D$5+21)</f>
        <v>1900</v>
      </c>
      <c r="AK7" s="14">
        <f>YEAR($D$5+22)</f>
        <v>1900</v>
      </c>
      <c r="AL7" s="14">
        <f>YEAR($D$5+23)</f>
        <v>1900</v>
      </c>
      <c r="AM7" s="14">
        <f>YEAR($D$5+24)</f>
        <v>1900</v>
      </c>
      <c r="AN7" s="14">
        <f>YEAR($D$5+25)</f>
        <v>1900</v>
      </c>
      <c r="AO7" s="14">
        <f>YEAR($D$5+26)</f>
        <v>1900</v>
      </c>
      <c r="AP7" s="14">
        <f>YEAR($D$5+27)</f>
        <v>1900</v>
      </c>
      <c r="AQ7" s="14">
        <f>YEAR($D$5+28)</f>
        <v>1900</v>
      </c>
      <c r="AR7" s="14">
        <f t="shared" ref="AR7:BV7" si="0">YEAR($D$5+29)</f>
        <v>1900</v>
      </c>
      <c r="AS7" s="14">
        <f t="shared" si="0"/>
        <v>1900</v>
      </c>
      <c r="AT7" s="14">
        <f t="shared" si="0"/>
        <v>1900</v>
      </c>
      <c r="AU7" s="14">
        <f t="shared" si="0"/>
        <v>1900</v>
      </c>
      <c r="AV7" s="14">
        <f t="shared" si="0"/>
        <v>1900</v>
      </c>
      <c r="AW7" s="14">
        <f t="shared" si="0"/>
        <v>1900</v>
      </c>
      <c r="AX7" s="14">
        <f t="shared" si="0"/>
        <v>1900</v>
      </c>
      <c r="AY7" s="14">
        <f t="shared" si="0"/>
        <v>1900</v>
      </c>
      <c r="AZ7" s="14">
        <f t="shared" si="0"/>
        <v>1900</v>
      </c>
      <c r="BA7" s="14">
        <f t="shared" si="0"/>
        <v>1900</v>
      </c>
      <c r="BB7" s="14">
        <f t="shared" si="0"/>
        <v>1900</v>
      </c>
      <c r="BC7" s="14">
        <f t="shared" si="0"/>
        <v>1900</v>
      </c>
      <c r="BD7" s="14">
        <f t="shared" si="0"/>
        <v>1900</v>
      </c>
      <c r="BE7" s="14">
        <f t="shared" si="0"/>
        <v>1900</v>
      </c>
      <c r="BF7" s="14">
        <f t="shared" si="0"/>
        <v>1900</v>
      </c>
      <c r="BG7" s="14">
        <f t="shared" si="0"/>
        <v>1900</v>
      </c>
      <c r="BH7" s="14">
        <f t="shared" si="0"/>
        <v>1900</v>
      </c>
      <c r="BI7" s="14">
        <f t="shared" si="0"/>
        <v>1900</v>
      </c>
      <c r="BJ7" s="14">
        <f t="shared" si="0"/>
        <v>1900</v>
      </c>
      <c r="BK7" s="14">
        <f t="shared" si="0"/>
        <v>1900</v>
      </c>
      <c r="BL7" s="14">
        <f t="shared" si="0"/>
        <v>1900</v>
      </c>
      <c r="BM7" s="14">
        <f t="shared" si="0"/>
        <v>1900</v>
      </c>
      <c r="BN7" s="14">
        <f t="shared" si="0"/>
        <v>1900</v>
      </c>
      <c r="BO7" s="14">
        <f t="shared" si="0"/>
        <v>1900</v>
      </c>
      <c r="BP7" s="14">
        <f t="shared" si="0"/>
        <v>1900</v>
      </c>
      <c r="BQ7" s="14">
        <f t="shared" si="0"/>
        <v>1900</v>
      </c>
      <c r="BR7" s="14">
        <f t="shared" si="0"/>
        <v>1900</v>
      </c>
      <c r="BS7" s="14">
        <f t="shared" si="0"/>
        <v>1900</v>
      </c>
      <c r="BT7" s="14">
        <f t="shared" si="0"/>
        <v>1900</v>
      </c>
      <c r="BU7" s="14">
        <f t="shared" si="0"/>
        <v>1900</v>
      </c>
      <c r="BV7" s="14">
        <f t="shared" si="0"/>
        <v>1900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6"/>
      <c r="CL7" s="26"/>
      <c r="CM7" s="32"/>
      <c r="CN7" s="32"/>
      <c r="CO7" s="26"/>
      <c r="CP7" s="26"/>
    </row>
    <row r="8" spans="1:104" s="13" customFormat="1" ht="11.25" hidden="1" thickBot="1" x14ac:dyDescent="0.2">
      <c r="A8" s="12"/>
      <c r="B8" s="12"/>
      <c r="C8" s="12"/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11">
        <f>MONTH($D$5)</f>
        <v>1</v>
      </c>
      <c r="P8" s="11">
        <f>MONTH($D$5+1)</f>
        <v>1</v>
      </c>
      <c r="Q8" s="11">
        <f>MONTH($D$5+2)</f>
        <v>1</v>
      </c>
      <c r="R8" s="11">
        <f>MONTH($D$5+3)</f>
        <v>1</v>
      </c>
      <c r="S8" s="11">
        <f>MONTH($D$5+4)</f>
        <v>1</v>
      </c>
      <c r="T8" s="11">
        <f>MONTH($D$5+5)</f>
        <v>1</v>
      </c>
      <c r="U8" s="11">
        <f>MONTH($D$5+6)</f>
        <v>1</v>
      </c>
      <c r="V8" s="11">
        <f>MONTH($D$5+7)</f>
        <v>1</v>
      </c>
      <c r="W8" s="11">
        <f>MONTH($D$5+8)</f>
        <v>1</v>
      </c>
      <c r="X8" s="11">
        <f>MONTH($D$5+9)</f>
        <v>1</v>
      </c>
      <c r="Y8" s="11">
        <f>MONTH($D$5+10)</f>
        <v>1</v>
      </c>
      <c r="Z8" s="11">
        <f>MONTH($D$5+11)</f>
        <v>1</v>
      </c>
      <c r="AA8" s="11">
        <f>MONTH($D$5+12)</f>
        <v>1</v>
      </c>
      <c r="AB8" s="11">
        <f>MONTH($D$5+13)</f>
        <v>1</v>
      </c>
      <c r="AC8" s="11">
        <f>MONTH($D$5+14)</f>
        <v>1</v>
      </c>
      <c r="AD8" s="11">
        <f>MONTH($D$5+15)</f>
        <v>1</v>
      </c>
      <c r="AE8" s="11">
        <f>MONTH($D$5+16)</f>
        <v>1</v>
      </c>
      <c r="AF8" s="11">
        <f>MONTH($D$5+17)</f>
        <v>1</v>
      </c>
      <c r="AG8" s="11">
        <f>MONTH($D$5+18)</f>
        <v>1</v>
      </c>
      <c r="AH8" s="11">
        <f>MONTH($D$5+19)</f>
        <v>1</v>
      </c>
      <c r="AI8" s="11">
        <f>MONTH($D$5+20)</f>
        <v>1</v>
      </c>
      <c r="AJ8" s="11">
        <f>MONTH($D$5+21)</f>
        <v>1</v>
      </c>
      <c r="AK8" s="11">
        <f>MONTH($D$5+22)</f>
        <v>1</v>
      </c>
      <c r="AL8" s="11">
        <f>MONTH($D$5+23)</f>
        <v>1</v>
      </c>
      <c r="AM8" s="11">
        <f>MONTH($D$5+24)</f>
        <v>1</v>
      </c>
      <c r="AN8" s="11">
        <f>MONTH($D$5+25)</f>
        <v>1</v>
      </c>
      <c r="AO8" s="11">
        <f>MONTH($D$5+26)</f>
        <v>1</v>
      </c>
      <c r="AP8" s="11">
        <f>MONTH($D$5+27)</f>
        <v>1</v>
      </c>
      <c r="AQ8" s="11">
        <f>MONTH($D$5+28)</f>
        <v>1</v>
      </c>
      <c r="AR8" s="11">
        <f>MONTH($D$5+29)</f>
        <v>1</v>
      </c>
      <c r="AS8" s="11">
        <f>MONTH($D$5+30)</f>
        <v>1</v>
      </c>
      <c r="AT8" s="11">
        <f>MONTH($D$5+31)</f>
        <v>1</v>
      </c>
      <c r="AU8" s="11">
        <f>MONTH($D$5+32)</f>
        <v>2</v>
      </c>
      <c r="AV8" s="11">
        <f>MONTH($D$5+33)</f>
        <v>2</v>
      </c>
      <c r="AW8" s="11">
        <f>MONTH($D$5+34)</f>
        <v>2</v>
      </c>
      <c r="AX8" s="11">
        <f>MONTH($D$5+35)</f>
        <v>2</v>
      </c>
      <c r="AY8" s="11">
        <f>MONTH($D$5+36)</f>
        <v>2</v>
      </c>
      <c r="AZ8" s="11">
        <f>MONTH($D$5+37)</f>
        <v>2</v>
      </c>
      <c r="BA8" s="11">
        <f>MONTH($D$5+38)</f>
        <v>2</v>
      </c>
      <c r="BB8" s="11">
        <f>MONTH($D$5+39)</f>
        <v>2</v>
      </c>
      <c r="BC8" s="11">
        <f>MONTH($D$5+40)</f>
        <v>2</v>
      </c>
      <c r="BD8" s="11">
        <f>MONTH($D$5+41)</f>
        <v>2</v>
      </c>
      <c r="BE8" s="11">
        <f>MONTH($D$5+42)</f>
        <v>2</v>
      </c>
      <c r="BF8" s="11">
        <f>MONTH($D$5+43)</f>
        <v>2</v>
      </c>
      <c r="BG8" s="11">
        <f>MONTH($D$5+44)</f>
        <v>2</v>
      </c>
      <c r="BH8" s="11">
        <f>MONTH($D$5+45)</f>
        <v>2</v>
      </c>
      <c r="BI8" s="11">
        <f>MONTH($D$5+46)</f>
        <v>2</v>
      </c>
      <c r="BJ8" s="11">
        <f>MONTH($D$5+47)</f>
        <v>2</v>
      </c>
      <c r="BK8" s="11">
        <f>MONTH($D$5+48)</f>
        <v>2</v>
      </c>
      <c r="BL8" s="11">
        <f>MONTH($D$5+49)</f>
        <v>2</v>
      </c>
      <c r="BM8" s="11">
        <f>MONTH($D$5+50)</f>
        <v>2</v>
      </c>
      <c r="BN8" s="11">
        <f>MONTH($D$5+51)</f>
        <v>2</v>
      </c>
      <c r="BO8" s="11">
        <f>MONTH($D$5+52)</f>
        <v>2</v>
      </c>
      <c r="BP8" s="11">
        <f>MONTH($D$5+53)</f>
        <v>2</v>
      </c>
      <c r="BQ8" s="11">
        <f>MONTH($D$5+54)</f>
        <v>2</v>
      </c>
      <c r="BR8" s="11">
        <f>MONTH($D$5+55)</f>
        <v>2</v>
      </c>
      <c r="BS8" s="11">
        <f>MONTH($D$5+56)</f>
        <v>2</v>
      </c>
      <c r="BT8" s="11">
        <f>MONTH($D$5+57)</f>
        <v>2</v>
      </c>
      <c r="BU8" s="11">
        <f>MONTH($D$5+58)</f>
        <v>2</v>
      </c>
      <c r="BV8" s="11">
        <f>MONTH($D$5+59)</f>
        <v>2</v>
      </c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7"/>
      <c r="CL8" s="27"/>
      <c r="CM8" s="33"/>
      <c r="CN8" s="33"/>
      <c r="CO8" s="27"/>
      <c r="CP8" s="27"/>
      <c r="CS8" s="195"/>
    </row>
    <row r="9" spans="1:104" s="13" customFormat="1" ht="11.25" hidden="1" thickBot="1" x14ac:dyDescent="0.2">
      <c r="A9" s="12"/>
      <c r="B9" s="12"/>
      <c r="C9" s="12"/>
      <c r="D9" s="12"/>
      <c r="E9" s="12"/>
      <c r="F9" s="12"/>
      <c r="G9" s="12"/>
      <c r="H9" s="12"/>
      <c r="I9" s="11"/>
      <c r="J9" s="11"/>
      <c r="K9" s="11"/>
      <c r="L9" s="11"/>
      <c r="M9" s="11"/>
      <c r="N9" s="11"/>
      <c r="O9" s="15" t="e">
        <f>DATE(O7,O8,O11)</f>
        <v>#VALUE!</v>
      </c>
      <c r="P9" s="15" t="e">
        <f t="shared" ref="P9:AR9" si="1">DATE(P7,P8,P11)</f>
        <v>#VALUE!</v>
      </c>
      <c r="Q9" s="15" t="e">
        <f t="shared" si="1"/>
        <v>#VALUE!</v>
      </c>
      <c r="R9" s="15" t="e">
        <f t="shared" si="1"/>
        <v>#VALUE!</v>
      </c>
      <c r="S9" s="15" t="e">
        <f t="shared" si="1"/>
        <v>#VALUE!</v>
      </c>
      <c r="T9" s="15" t="e">
        <f t="shared" si="1"/>
        <v>#VALUE!</v>
      </c>
      <c r="U9" s="15" t="e">
        <f t="shared" si="1"/>
        <v>#VALUE!</v>
      </c>
      <c r="V9" s="15" t="e">
        <f t="shared" si="1"/>
        <v>#VALUE!</v>
      </c>
      <c r="W9" s="15" t="e">
        <f t="shared" si="1"/>
        <v>#VALUE!</v>
      </c>
      <c r="X9" s="15" t="e">
        <f t="shared" si="1"/>
        <v>#VALUE!</v>
      </c>
      <c r="Y9" s="15" t="e">
        <f t="shared" si="1"/>
        <v>#VALUE!</v>
      </c>
      <c r="Z9" s="15" t="e">
        <f t="shared" si="1"/>
        <v>#VALUE!</v>
      </c>
      <c r="AA9" s="15" t="e">
        <f t="shared" si="1"/>
        <v>#VALUE!</v>
      </c>
      <c r="AB9" s="15" t="e">
        <f t="shared" si="1"/>
        <v>#VALUE!</v>
      </c>
      <c r="AC9" s="15" t="e">
        <f t="shared" si="1"/>
        <v>#VALUE!</v>
      </c>
      <c r="AD9" s="15" t="e">
        <f t="shared" si="1"/>
        <v>#VALUE!</v>
      </c>
      <c r="AE9" s="15" t="e">
        <f t="shared" si="1"/>
        <v>#VALUE!</v>
      </c>
      <c r="AF9" s="15" t="e">
        <f t="shared" si="1"/>
        <v>#VALUE!</v>
      </c>
      <c r="AG9" s="15" t="e">
        <f t="shared" si="1"/>
        <v>#VALUE!</v>
      </c>
      <c r="AH9" s="15" t="e">
        <f t="shared" si="1"/>
        <v>#VALUE!</v>
      </c>
      <c r="AI9" s="15" t="e">
        <f t="shared" si="1"/>
        <v>#VALUE!</v>
      </c>
      <c r="AJ9" s="15" t="e">
        <f t="shared" si="1"/>
        <v>#VALUE!</v>
      </c>
      <c r="AK9" s="15" t="e">
        <f t="shared" si="1"/>
        <v>#VALUE!</v>
      </c>
      <c r="AL9" s="15" t="e">
        <f t="shared" si="1"/>
        <v>#VALUE!</v>
      </c>
      <c r="AM9" s="15" t="e">
        <f t="shared" si="1"/>
        <v>#VALUE!</v>
      </c>
      <c r="AN9" s="15" t="e">
        <f t="shared" si="1"/>
        <v>#VALUE!</v>
      </c>
      <c r="AO9" s="15" t="e">
        <f t="shared" si="1"/>
        <v>#VALUE!</v>
      </c>
      <c r="AP9" s="15" t="e">
        <f t="shared" si="1"/>
        <v>#VALUE!</v>
      </c>
      <c r="AQ9" s="15" t="e">
        <f t="shared" si="1"/>
        <v>#VALUE!</v>
      </c>
      <c r="AR9" s="15" t="e">
        <f t="shared" si="1"/>
        <v>#VALUE!</v>
      </c>
      <c r="AS9" s="15" t="e">
        <f t="shared" ref="AS9:BV9" si="2">DATE(AS7,AS8,AS11)</f>
        <v>#VALUE!</v>
      </c>
      <c r="AT9" s="15" t="e">
        <f t="shared" si="2"/>
        <v>#VALUE!</v>
      </c>
      <c r="AU9" s="15" t="e">
        <f t="shared" si="2"/>
        <v>#VALUE!</v>
      </c>
      <c r="AV9" s="15" t="e">
        <f t="shared" si="2"/>
        <v>#VALUE!</v>
      </c>
      <c r="AW9" s="15" t="e">
        <f t="shared" si="2"/>
        <v>#VALUE!</v>
      </c>
      <c r="AX9" s="15" t="e">
        <f t="shared" si="2"/>
        <v>#VALUE!</v>
      </c>
      <c r="AY9" s="15" t="e">
        <f t="shared" si="2"/>
        <v>#VALUE!</v>
      </c>
      <c r="AZ9" s="15" t="e">
        <f t="shared" si="2"/>
        <v>#VALUE!</v>
      </c>
      <c r="BA9" s="15" t="e">
        <f t="shared" si="2"/>
        <v>#VALUE!</v>
      </c>
      <c r="BB9" s="15" t="e">
        <f t="shared" si="2"/>
        <v>#VALUE!</v>
      </c>
      <c r="BC9" s="15" t="e">
        <f t="shared" si="2"/>
        <v>#VALUE!</v>
      </c>
      <c r="BD9" s="15" t="e">
        <f t="shared" si="2"/>
        <v>#VALUE!</v>
      </c>
      <c r="BE9" s="15" t="e">
        <f t="shared" si="2"/>
        <v>#VALUE!</v>
      </c>
      <c r="BF9" s="15" t="e">
        <f t="shared" si="2"/>
        <v>#VALUE!</v>
      </c>
      <c r="BG9" s="15" t="e">
        <f t="shared" si="2"/>
        <v>#VALUE!</v>
      </c>
      <c r="BH9" s="15" t="e">
        <f t="shared" si="2"/>
        <v>#VALUE!</v>
      </c>
      <c r="BI9" s="15" t="e">
        <f t="shared" si="2"/>
        <v>#VALUE!</v>
      </c>
      <c r="BJ9" s="15" t="e">
        <f t="shared" si="2"/>
        <v>#VALUE!</v>
      </c>
      <c r="BK9" s="15" t="e">
        <f t="shared" si="2"/>
        <v>#VALUE!</v>
      </c>
      <c r="BL9" s="15" t="e">
        <f t="shared" si="2"/>
        <v>#VALUE!</v>
      </c>
      <c r="BM9" s="15" t="e">
        <f t="shared" si="2"/>
        <v>#VALUE!</v>
      </c>
      <c r="BN9" s="15" t="e">
        <f t="shared" si="2"/>
        <v>#VALUE!</v>
      </c>
      <c r="BO9" s="15" t="e">
        <f t="shared" si="2"/>
        <v>#VALUE!</v>
      </c>
      <c r="BP9" s="15" t="e">
        <f t="shared" si="2"/>
        <v>#VALUE!</v>
      </c>
      <c r="BQ9" s="15" t="e">
        <f t="shared" si="2"/>
        <v>#VALUE!</v>
      </c>
      <c r="BR9" s="15" t="e">
        <f t="shared" si="2"/>
        <v>#VALUE!</v>
      </c>
      <c r="BS9" s="15" t="e">
        <f t="shared" si="2"/>
        <v>#VALUE!</v>
      </c>
      <c r="BT9" s="15" t="e">
        <f t="shared" si="2"/>
        <v>#VALUE!</v>
      </c>
      <c r="BU9" s="15" t="e">
        <f t="shared" si="2"/>
        <v>#VALUE!</v>
      </c>
      <c r="BV9" s="15" t="e">
        <f t="shared" si="2"/>
        <v>#VALUE!</v>
      </c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7"/>
      <c r="CL9" s="27"/>
      <c r="CM9" s="33"/>
      <c r="CN9" s="33"/>
      <c r="CO9" s="27"/>
      <c r="CP9" s="27"/>
      <c r="CS9" s="195"/>
    </row>
    <row r="10" spans="1:104" ht="14.1" customHeight="1" x14ac:dyDescent="0.15">
      <c r="A10" s="234" t="s">
        <v>1</v>
      </c>
      <c r="B10" s="249" t="s">
        <v>63</v>
      </c>
      <c r="C10" s="250"/>
      <c r="D10" s="243" t="s">
        <v>30</v>
      </c>
      <c r="E10" s="244"/>
      <c r="F10" s="240" t="s">
        <v>16</v>
      </c>
      <c r="G10" s="267"/>
      <c r="H10" s="268"/>
      <c r="I10" s="237" t="s">
        <v>0</v>
      </c>
      <c r="J10" s="240" t="s">
        <v>4</v>
      </c>
      <c r="K10" s="292" t="s">
        <v>20</v>
      </c>
      <c r="L10" s="293"/>
      <c r="M10" s="237" t="s">
        <v>60</v>
      </c>
      <c r="N10" s="289" t="s">
        <v>33</v>
      </c>
      <c r="O10" s="196" t="str">
        <f>IF(D5="",""," "&amp;MONTH(D5)&amp;"月")</f>
        <v/>
      </c>
      <c r="P10" s="197" t="str">
        <f>IF($D$5="","",IF(P11=1," "&amp;P8&amp;"月",""))</f>
        <v/>
      </c>
      <c r="Q10" s="197" t="str">
        <f t="shared" ref="Q10:BV10" si="3">IF($D$5="","",IF(Q11=1," "&amp;Q8&amp;"月",""))</f>
        <v/>
      </c>
      <c r="R10" s="197" t="str">
        <f t="shared" si="3"/>
        <v/>
      </c>
      <c r="S10" s="197" t="str">
        <f t="shared" si="3"/>
        <v/>
      </c>
      <c r="T10" s="197" t="str">
        <f t="shared" si="3"/>
        <v/>
      </c>
      <c r="U10" s="197" t="str">
        <f t="shared" si="3"/>
        <v/>
      </c>
      <c r="V10" s="197" t="str">
        <f t="shared" si="3"/>
        <v/>
      </c>
      <c r="W10" s="197" t="str">
        <f t="shared" si="3"/>
        <v/>
      </c>
      <c r="X10" s="197" t="str">
        <f t="shared" si="3"/>
        <v/>
      </c>
      <c r="Y10" s="197" t="str">
        <f t="shared" si="3"/>
        <v/>
      </c>
      <c r="Z10" s="197" t="str">
        <f t="shared" si="3"/>
        <v/>
      </c>
      <c r="AA10" s="197" t="str">
        <f t="shared" si="3"/>
        <v/>
      </c>
      <c r="AB10" s="197" t="str">
        <f t="shared" si="3"/>
        <v/>
      </c>
      <c r="AC10" s="197" t="str">
        <f t="shared" si="3"/>
        <v/>
      </c>
      <c r="AD10" s="197" t="str">
        <f t="shared" si="3"/>
        <v/>
      </c>
      <c r="AE10" s="197" t="str">
        <f t="shared" si="3"/>
        <v/>
      </c>
      <c r="AF10" s="197" t="str">
        <f t="shared" si="3"/>
        <v/>
      </c>
      <c r="AG10" s="197" t="str">
        <f t="shared" si="3"/>
        <v/>
      </c>
      <c r="AH10" s="197" t="str">
        <f t="shared" si="3"/>
        <v/>
      </c>
      <c r="AI10" s="197" t="str">
        <f t="shared" si="3"/>
        <v/>
      </c>
      <c r="AJ10" s="197" t="str">
        <f t="shared" si="3"/>
        <v/>
      </c>
      <c r="AK10" s="197" t="str">
        <f t="shared" si="3"/>
        <v/>
      </c>
      <c r="AL10" s="197" t="str">
        <f t="shared" si="3"/>
        <v/>
      </c>
      <c r="AM10" s="197" t="str">
        <f t="shared" si="3"/>
        <v/>
      </c>
      <c r="AN10" s="197" t="str">
        <f t="shared" si="3"/>
        <v/>
      </c>
      <c r="AO10" s="197" t="str">
        <f t="shared" si="3"/>
        <v/>
      </c>
      <c r="AP10" s="197" t="str">
        <f t="shared" si="3"/>
        <v/>
      </c>
      <c r="AQ10" s="197" t="str">
        <f t="shared" si="3"/>
        <v/>
      </c>
      <c r="AR10" s="197" t="str">
        <f t="shared" si="3"/>
        <v/>
      </c>
      <c r="AS10" s="197" t="str">
        <f t="shared" si="3"/>
        <v/>
      </c>
      <c r="AT10" s="197" t="str">
        <f t="shared" si="3"/>
        <v/>
      </c>
      <c r="AU10" s="197" t="str">
        <f t="shared" si="3"/>
        <v/>
      </c>
      <c r="AV10" s="197" t="str">
        <f t="shared" si="3"/>
        <v/>
      </c>
      <c r="AW10" s="197" t="str">
        <f t="shared" si="3"/>
        <v/>
      </c>
      <c r="AX10" s="197" t="str">
        <f t="shared" si="3"/>
        <v/>
      </c>
      <c r="AY10" s="197" t="str">
        <f t="shared" si="3"/>
        <v/>
      </c>
      <c r="AZ10" s="197" t="str">
        <f t="shared" si="3"/>
        <v/>
      </c>
      <c r="BA10" s="197" t="str">
        <f t="shared" si="3"/>
        <v/>
      </c>
      <c r="BB10" s="197" t="str">
        <f t="shared" si="3"/>
        <v/>
      </c>
      <c r="BC10" s="197" t="str">
        <f t="shared" si="3"/>
        <v/>
      </c>
      <c r="BD10" s="197" t="str">
        <f t="shared" si="3"/>
        <v/>
      </c>
      <c r="BE10" s="197" t="str">
        <f t="shared" si="3"/>
        <v/>
      </c>
      <c r="BF10" s="197" t="str">
        <f t="shared" si="3"/>
        <v/>
      </c>
      <c r="BG10" s="197" t="str">
        <f t="shared" si="3"/>
        <v/>
      </c>
      <c r="BH10" s="197" t="str">
        <f t="shared" si="3"/>
        <v/>
      </c>
      <c r="BI10" s="197" t="str">
        <f t="shared" si="3"/>
        <v/>
      </c>
      <c r="BJ10" s="197" t="str">
        <f t="shared" si="3"/>
        <v/>
      </c>
      <c r="BK10" s="197" t="str">
        <f t="shared" si="3"/>
        <v/>
      </c>
      <c r="BL10" s="197" t="str">
        <f t="shared" si="3"/>
        <v/>
      </c>
      <c r="BM10" s="197" t="str">
        <f t="shared" si="3"/>
        <v/>
      </c>
      <c r="BN10" s="197" t="str">
        <f t="shared" si="3"/>
        <v/>
      </c>
      <c r="BO10" s="197" t="str">
        <f t="shared" si="3"/>
        <v/>
      </c>
      <c r="BP10" s="197" t="str">
        <f t="shared" si="3"/>
        <v/>
      </c>
      <c r="BQ10" s="197" t="str">
        <f t="shared" si="3"/>
        <v/>
      </c>
      <c r="BR10" s="197" t="str">
        <f t="shared" si="3"/>
        <v/>
      </c>
      <c r="BS10" s="197" t="str">
        <f t="shared" si="3"/>
        <v/>
      </c>
      <c r="BT10" s="197" t="str">
        <f t="shared" si="3"/>
        <v/>
      </c>
      <c r="BU10" s="197" t="str">
        <f t="shared" si="3"/>
        <v/>
      </c>
      <c r="BV10" s="197" t="str">
        <f t="shared" si="3"/>
        <v/>
      </c>
      <c r="BW10" s="285" t="s">
        <v>34</v>
      </c>
      <c r="BX10" s="285" t="s">
        <v>35</v>
      </c>
      <c r="BY10" s="276" t="s">
        <v>9</v>
      </c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8"/>
      <c r="CK10" s="18"/>
      <c r="CL10" s="28"/>
      <c r="CM10" s="34"/>
      <c r="CN10" s="34"/>
      <c r="CO10" s="28"/>
      <c r="CP10" s="28"/>
      <c r="CQ10" s="5"/>
      <c r="CT10" s="166" t="str">
        <f>IF(C3&lt;&gt;"新型コロナウイルス感染症","入力内容から発生人数を算出しています。WEB報告の参考としてください。","")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U10" s="166"/>
      <c r="CV10" s="166"/>
      <c r="CW10" s="166"/>
      <c r="CX10" s="166"/>
      <c r="CY10" s="166"/>
      <c r="CZ10" s="166"/>
    </row>
    <row r="11" spans="1:104" ht="14.1" customHeight="1" x14ac:dyDescent="0.15">
      <c r="A11" s="235"/>
      <c r="B11" s="251"/>
      <c r="C11" s="252"/>
      <c r="D11" s="245"/>
      <c r="E11" s="246"/>
      <c r="F11" s="241"/>
      <c r="G11" s="269"/>
      <c r="H11" s="270"/>
      <c r="I11" s="238"/>
      <c r="J11" s="241"/>
      <c r="K11" s="296" t="s">
        <v>5</v>
      </c>
      <c r="L11" s="294" t="s">
        <v>19</v>
      </c>
      <c r="M11" s="238"/>
      <c r="N11" s="290"/>
      <c r="O11" s="198" t="str">
        <f>IF(D5="","",DAY($D$5))</f>
        <v/>
      </c>
      <c r="P11" s="199" t="str">
        <f>IF(D5="","",DAY($D$5+1))</f>
        <v/>
      </c>
      <c r="Q11" s="199" t="str">
        <f>IF(D5="","",DAY($D$5+2))</f>
        <v/>
      </c>
      <c r="R11" s="199" t="str">
        <f>IF(D5="","",DAY($D$5+3))</f>
        <v/>
      </c>
      <c r="S11" s="199" t="str">
        <f>IF(D5="","",DAY($D$5+4))</f>
        <v/>
      </c>
      <c r="T11" s="199" t="str">
        <f>IF(D5="","",DAY($D$5+5))</f>
        <v/>
      </c>
      <c r="U11" s="199" t="str">
        <f>IF(D5="","",DAY($D$5+6))</f>
        <v/>
      </c>
      <c r="V11" s="199" t="str">
        <f>IF(D5="","",DAY($D$5+7))</f>
        <v/>
      </c>
      <c r="W11" s="199" t="str">
        <f>IF(D5="","",DAY($D$5+8))</f>
        <v/>
      </c>
      <c r="X11" s="199" t="str">
        <f>IF(D5="","",DAY($D$5+9))</f>
        <v/>
      </c>
      <c r="Y11" s="199" t="str">
        <f>IF(D5="","",DAY($D$5+10))</f>
        <v/>
      </c>
      <c r="Z11" s="199" t="str">
        <f>IF(D5="","",DAY($D$5+11))</f>
        <v/>
      </c>
      <c r="AA11" s="199" t="str">
        <f>IF(D5="","",DAY($D$5+12))</f>
        <v/>
      </c>
      <c r="AB11" s="199" t="str">
        <f>IF(D5="","",DAY($D$5+13))</f>
        <v/>
      </c>
      <c r="AC11" s="199" t="str">
        <f>IF(D5="","",DAY($D$5+14))</f>
        <v/>
      </c>
      <c r="AD11" s="199" t="str">
        <f>IF(D5="","",DAY($D$5+15))</f>
        <v/>
      </c>
      <c r="AE11" s="199" t="str">
        <f>IF(D5="","",DAY($D$5+16))</f>
        <v/>
      </c>
      <c r="AF11" s="199" t="str">
        <f>IF(D5="","",DAY($D$5+17))</f>
        <v/>
      </c>
      <c r="AG11" s="199" t="str">
        <f>IF(D5="","",DAY($D$5+18))</f>
        <v/>
      </c>
      <c r="AH11" s="199" t="str">
        <f>IF(D5="","",DAY($D$5+19))</f>
        <v/>
      </c>
      <c r="AI11" s="199" t="str">
        <f>IF(D5="","",DAY($D$5+20))</f>
        <v/>
      </c>
      <c r="AJ11" s="199" t="str">
        <f>IF(D5="","",DAY($D$5+21))</f>
        <v/>
      </c>
      <c r="AK11" s="199" t="str">
        <f>IF(D5="","",DAY($D$5+22))</f>
        <v/>
      </c>
      <c r="AL11" s="199" t="str">
        <f>IF(D5="","",DAY($D$5+23))</f>
        <v/>
      </c>
      <c r="AM11" s="199" t="str">
        <f>IF(D5="","",DAY($D$5+24))</f>
        <v/>
      </c>
      <c r="AN11" s="199" t="str">
        <f>IF(D5="","",DAY($D$5+25))</f>
        <v/>
      </c>
      <c r="AO11" s="199" t="str">
        <f>IF(D5="","",DAY($D$5+26))</f>
        <v/>
      </c>
      <c r="AP11" s="199" t="str">
        <f>IF(D5="","",DAY($D$5+27))</f>
        <v/>
      </c>
      <c r="AQ11" s="199" t="str">
        <f>IF(D5="","",DAY($D$5+28))</f>
        <v/>
      </c>
      <c r="AR11" s="199" t="str">
        <f>IF(D5="","",DAY($D$5+29))</f>
        <v/>
      </c>
      <c r="AS11" s="199" t="str">
        <f>IF(D5="","",DAY($D$5+30))</f>
        <v/>
      </c>
      <c r="AT11" s="199" t="str">
        <f>IF(D5="","",DAY($D$5+31))</f>
        <v/>
      </c>
      <c r="AU11" s="199" t="str">
        <f>IF(D5="","",DAY($D$5+32))</f>
        <v/>
      </c>
      <c r="AV11" s="199" t="str">
        <f>IF(D5="","",DAY($D$5+33))</f>
        <v/>
      </c>
      <c r="AW11" s="199" t="str">
        <f>IF(D5="","",DAY($D$5+34))</f>
        <v/>
      </c>
      <c r="AX11" s="199" t="str">
        <f>IF(D5="","",DAY($D$5+35))</f>
        <v/>
      </c>
      <c r="AY11" s="199" t="str">
        <f>IF(D5="","",DAY($D$5+36))</f>
        <v/>
      </c>
      <c r="AZ11" s="199" t="str">
        <f>IF(D5="","",DAY($D$5+37))</f>
        <v/>
      </c>
      <c r="BA11" s="199" t="str">
        <f>IF(D5="","",DAY($D$5+38))</f>
        <v/>
      </c>
      <c r="BB11" s="199" t="str">
        <f>IF(D5="","",DAY($D$5+39))</f>
        <v/>
      </c>
      <c r="BC11" s="199" t="str">
        <f>IF(D5="","",DAY($D$5+40))</f>
        <v/>
      </c>
      <c r="BD11" s="199" t="str">
        <f>IF(D5="","",DAY($D$5+41))</f>
        <v/>
      </c>
      <c r="BE11" s="199" t="str">
        <f>IF(D5="","",DAY($D$5+42))</f>
        <v/>
      </c>
      <c r="BF11" s="199" t="str">
        <f>IF(D5="","",DAY($D$5+43))</f>
        <v/>
      </c>
      <c r="BG11" s="199" t="str">
        <f>IF(D5="","",DAY($D$5+44))</f>
        <v/>
      </c>
      <c r="BH11" s="199" t="str">
        <f>IF(D5="","",DAY($D$5+45))</f>
        <v/>
      </c>
      <c r="BI11" s="199" t="str">
        <f>IF(D5="","",DAY($D$5+46))</f>
        <v/>
      </c>
      <c r="BJ11" s="199" t="str">
        <f>IF(D5="","",DAY($D$5+47))</f>
        <v/>
      </c>
      <c r="BK11" s="199" t="str">
        <f>IF(D5="","",DAY($D$5+48))</f>
        <v/>
      </c>
      <c r="BL11" s="199" t="str">
        <f>IF(D5="","",DAY($D$5+49))</f>
        <v/>
      </c>
      <c r="BM11" s="199" t="str">
        <f>IF(D5="","",DAY($D$5+50))</f>
        <v/>
      </c>
      <c r="BN11" s="199" t="str">
        <f>IF(D5="","",DAY($D$5+51))</f>
        <v/>
      </c>
      <c r="BO11" s="199" t="str">
        <f>IF(D5="","",DAY($D$5+52))</f>
        <v/>
      </c>
      <c r="BP11" s="199" t="str">
        <f>IF(D5="","",DAY($D$5+53))</f>
        <v/>
      </c>
      <c r="BQ11" s="199" t="str">
        <f>IF(D5="","",DAY($D$5+54))</f>
        <v/>
      </c>
      <c r="BR11" s="199" t="str">
        <f>IF(D5="","",DAY($D$5+55))</f>
        <v/>
      </c>
      <c r="BS11" s="199" t="str">
        <f>IF(D5="","",DAY($D$5+56))</f>
        <v/>
      </c>
      <c r="BT11" s="199" t="str">
        <f>IF(D5="","",DAY($D$5+57))</f>
        <v/>
      </c>
      <c r="BU11" s="199" t="str">
        <f>IF(D5="","",DAY($D$5+58))</f>
        <v/>
      </c>
      <c r="BV11" s="200" t="str">
        <f>IF(D5="","",DAY($D$5+59))</f>
        <v/>
      </c>
      <c r="BW11" s="286"/>
      <c r="BX11" s="286"/>
      <c r="BY11" s="279"/>
      <c r="BZ11" s="280"/>
      <c r="CA11" s="280"/>
      <c r="CB11" s="280"/>
      <c r="CC11" s="280"/>
      <c r="CD11" s="280"/>
      <c r="CE11" s="280"/>
      <c r="CF11" s="280"/>
      <c r="CG11" s="280"/>
      <c r="CH11" s="280"/>
      <c r="CI11" s="280"/>
      <c r="CJ11" s="281"/>
      <c r="CK11" s="18"/>
      <c r="CL11" s="28"/>
      <c r="CM11" s="34"/>
      <c r="CN11" s="34"/>
      <c r="CO11" s="28"/>
      <c r="CP11" s="28"/>
      <c r="CQ11" s="5"/>
      <c r="CT11" s="166" t="str">
        <f>IF(C3&lt;&gt;"新型コロナウイルス感染症","○病棟別の有症状者数（累計）","")</f>
        <v>○病棟別の有症状者数（累計）</v>
      </c>
      <c r="CU11" s="166"/>
      <c r="CV11" s="166"/>
      <c r="CW11" s="166"/>
      <c r="CX11" s="166" t="str">
        <f>IF(C3&lt;&gt;"新型コロナウイルス感染症","○死亡者数","")</f>
        <v>○死亡者数</v>
      </c>
      <c r="CY11" s="166"/>
      <c r="CZ11" s="166"/>
    </row>
    <row r="12" spans="1:104" ht="14.1" customHeight="1" thickBot="1" x14ac:dyDescent="0.2">
      <c r="A12" s="236"/>
      <c r="B12" s="253"/>
      <c r="C12" s="254"/>
      <c r="D12" s="247"/>
      <c r="E12" s="248"/>
      <c r="F12" s="242"/>
      <c r="G12" s="271"/>
      <c r="H12" s="272"/>
      <c r="I12" s="239"/>
      <c r="J12" s="242"/>
      <c r="K12" s="242"/>
      <c r="L12" s="295"/>
      <c r="M12" s="239"/>
      <c r="N12" s="291"/>
      <c r="O12" s="201" t="str">
        <f>IFERROR(TEXT(O9,"aaa"),"")</f>
        <v/>
      </c>
      <c r="P12" s="202" t="str">
        <f>IFERROR(TEXT(P9,"aaa"),"")</f>
        <v/>
      </c>
      <c r="Q12" s="202" t="str">
        <f t="shared" ref="Q12:BV12" si="4">IFERROR(TEXT(Q9,"aaa"),"")</f>
        <v/>
      </c>
      <c r="R12" s="202" t="str">
        <f t="shared" si="4"/>
        <v/>
      </c>
      <c r="S12" s="202" t="str">
        <f t="shared" si="4"/>
        <v/>
      </c>
      <c r="T12" s="202" t="str">
        <f t="shared" si="4"/>
        <v/>
      </c>
      <c r="U12" s="202" t="str">
        <f t="shared" si="4"/>
        <v/>
      </c>
      <c r="V12" s="202" t="str">
        <f t="shared" si="4"/>
        <v/>
      </c>
      <c r="W12" s="202" t="str">
        <f t="shared" si="4"/>
        <v/>
      </c>
      <c r="X12" s="202" t="str">
        <f t="shared" si="4"/>
        <v/>
      </c>
      <c r="Y12" s="202" t="str">
        <f t="shared" si="4"/>
        <v/>
      </c>
      <c r="Z12" s="202" t="str">
        <f t="shared" si="4"/>
        <v/>
      </c>
      <c r="AA12" s="202" t="str">
        <f t="shared" si="4"/>
        <v/>
      </c>
      <c r="AB12" s="202" t="str">
        <f t="shared" si="4"/>
        <v/>
      </c>
      <c r="AC12" s="202" t="str">
        <f t="shared" si="4"/>
        <v/>
      </c>
      <c r="AD12" s="202" t="str">
        <f t="shared" si="4"/>
        <v/>
      </c>
      <c r="AE12" s="202" t="str">
        <f t="shared" si="4"/>
        <v/>
      </c>
      <c r="AF12" s="202" t="str">
        <f t="shared" si="4"/>
        <v/>
      </c>
      <c r="AG12" s="202" t="str">
        <f t="shared" si="4"/>
        <v/>
      </c>
      <c r="AH12" s="202" t="str">
        <f t="shared" si="4"/>
        <v/>
      </c>
      <c r="AI12" s="202" t="str">
        <f t="shared" si="4"/>
        <v/>
      </c>
      <c r="AJ12" s="202" t="str">
        <f t="shared" si="4"/>
        <v/>
      </c>
      <c r="AK12" s="202" t="str">
        <f t="shared" si="4"/>
        <v/>
      </c>
      <c r="AL12" s="202" t="str">
        <f t="shared" si="4"/>
        <v/>
      </c>
      <c r="AM12" s="202" t="str">
        <f t="shared" si="4"/>
        <v/>
      </c>
      <c r="AN12" s="202" t="str">
        <f t="shared" si="4"/>
        <v/>
      </c>
      <c r="AO12" s="202" t="str">
        <f t="shared" si="4"/>
        <v/>
      </c>
      <c r="AP12" s="202" t="str">
        <f t="shared" si="4"/>
        <v/>
      </c>
      <c r="AQ12" s="202" t="str">
        <f t="shared" si="4"/>
        <v/>
      </c>
      <c r="AR12" s="202" t="str">
        <f t="shared" si="4"/>
        <v/>
      </c>
      <c r="AS12" s="202" t="str">
        <f t="shared" si="4"/>
        <v/>
      </c>
      <c r="AT12" s="202" t="str">
        <f t="shared" si="4"/>
        <v/>
      </c>
      <c r="AU12" s="202" t="str">
        <f t="shared" si="4"/>
        <v/>
      </c>
      <c r="AV12" s="202" t="str">
        <f t="shared" si="4"/>
        <v/>
      </c>
      <c r="AW12" s="202" t="str">
        <f t="shared" si="4"/>
        <v/>
      </c>
      <c r="AX12" s="202" t="str">
        <f t="shared" si="4"/>
        <v/>
      </c>
      <c r="AY12" s="202" t="str">
        <f t="shared" si="4"/>
        <v/>
      </c>
      <c r="AZ12" s="202" t="str">
        <f t="shared" si="4"/>
        <v/>
      </c>
      <c r="BA12" s="202" t="str">
        <f t="shared" si="4"/>
        <v/>
      </c>
      <c r="BB12" s="202" t="str">
        <f t="shared" si="4"/>
        <v/>
      </c>
      <c r="BC12" s="202" t="str">
        <f t="shared" si="4"/>
        <v/>
      </c>
      <c r="BD12" s="202" t="str">
        <f t="shared" si="4"/>
        <v/>
      </c>
      <c r="BE12" s="202" t="str">
        <f t="shared" si="4"/>
        <v/>
      </c>
      <c r="BF12" s="202" t="str">
        <f t="shared" si="4"/>
        <v/>
      </c>
      <c r="BG12" s="202" t="str">
        <f t="shared" si="4"/>
        <v/>
      </c>
      <c r="BH12" s="202" t="str">
        <f t="shared" si="4"/>
        <v/>
      </c>
      <c r="BI12" s="202" t="str">
        <f t="shared" si="4"/>
        <v/>
      </c>
      <c r="BJ12" s="202" t="str">
        <f t="shared" si="4"/>
        <v/>
      </c>
      <c r="BK12" s="202" t="str">
        <f t="shared" si="4"/>
        <v/>
      </c>
      <c r="BL12" s="202" t="str">
        <f t="shared" si="4"/>
        <v/>
      </c>
      <c r="BM12" s="202" t="str">
        <f t="shared" si="4"/>
        <v/>
      </c>
      <c r="BN12" s="202" t="str">
        <f t="shared" si="4"/>
        <v/>
      </c>
      <c r="BO12" s="202" t="str">
        <f t="shared" si="4"/>
        <v/>
      </c>
      <c r="BP12" s="202" t="str">
        <f t="shared" si="4"/>
        <v/>
      </c>
      <c r="BQ12" s="202" t="str">
        <f t="shared" si="4"/>
        <v/>
      </c>
      <c r="BR12" s="202" t="str">
        <f t="shared" si="4"/>
        <v/>
      </c>
      <c r="BS12" s="202" t="str">
        <f t="shared" si="4"/>
        <v/>
      </c>
      <c r="BT12" s="202" t="str">
        <f t="shared" si="4"/>
        <v/>
      </c>
      <c r="BU12" s="202" t="str">
        <f t="shared" si="4"/>
        <v/>
      </c>
      <c r="BV12" s="202" t="str">
        <f t="shared" si="4"/>
        <v/>
      </c>
      <c r="BW12" s="287"/>
      <c r="BX12" s="287"/>
      <c r="BY12" s="282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4"/>
      <c r="CK12" s="36" t="s">
        <v>36</v>
      </c>
      <c r="CL12" s="37" t="s">
        <v>37</v>
      </c>
      <c r="CM12" s="263" t="s">
        <v>38</v>
      </c>
      <c r="CN12" s="263"/>
      <c r="CO12" s="41" t="s">
        <v>40</v>
      </c>
      <c r="CP12" s="28"/>
      <c r="CQ12" s="5"/>
      <c r="CT12" s="166"/>
      <c r="CU12" s="203" t="str">
        <f>IF(C3&lt;&gt;"新型コロナウイルス感染症","入院患者","")</f>
        <v>入院患者</v>
      </c>
      <c r="CV12" s="203" t="str">
        <f>IF(C3&lt;&gt;"新型コロナウイルス感染症","職員","")</f>
        <v>職員</v>
      </c>
      <c r="CW12" s="166"/>
      <c r="CX12" s="166"/>
      <c r="CY12" s="203" t="str">
        <f>IF(C3&lt;&gt;"新型コロナウイルス感染症","入院患者","")</f>
        <v>入院患者</v>
      </c>
      <c r="CZ12" s="203" t="str">
        <f>IF(C3&lt;&gt;"新型コロナウイルス感染症","職員","")</f>
        <v>職員</v>
      </c>
    </row>
    <row r="13" spans="1:104" ht="15" customHeight="1" x14ac:dyDescent="0.15">
      <c r="A13" s="85" t="str">
        <f>IF(B13="","","1")</f>
        <v/>
      </c>
      <c r="B13" s="255"/>
      <c r="C13" s="256"/>
      <c r="D13" s="255"/>
      <c r="E13" s="256"/>
      <c r="F13" s="255"/>
      <c r="G13" s="273"/>
      <c r="H13" s="256"/>
      <c r="I13" s="89"/>
      <c r="J13" s="90"/>
      <c r="K13" s="91"/>
      <c r="L13" s="92"/>
      <c r="M13" s="93"/>
      <c r="N13" s="94"/>
      <c r="O13" s="213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22"/>
      <c r="BW13" s="95"/>
      <c r="BX13" s="96"/>
      <c r="BY13" s="97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9"/>
      <c r="CK13" s="6" t="b">
        <f t="shared" ref="CK13:CK44" si="5">COUNTIF(O13:BV13,"○")&gt;0</f>
        <v>0</v>
      </c>
      <c r="CL13" s="24" t="str">
        <f t="shared" ref="CL13:CL44" ca="1" si="6">IFERROR(OFFSET($O$9,0,MATCH("○",O13:BV13,0)-1,1,1),"")</f>
        <v/>
      </c>
      <c r="CM13" s="35">
        <f>IF(COUNTIF($B$13:B13,B13)=1,1,0)</f>
        <v>0</v>
      </c>
      <c r="CN13" s="35">
        <f>SUM($CM$13:CM13)</f>
        <v>0</v>
      </c>
      <c r="CO13" s="24"/>
      <c r="CP13" s="24"/>
      <c r="CQ13" s="5">
        <v>1</v>
      </c>
      <c r="CR13" s="1" t="str">
        <f>IFERROR(INDEX(B:B,MATCH(CQ13,CN:CN,0)),"")</f>
        <v/>
      </c>
      <c r="CT13" s="203" t="str">
        <f>IF($C$3&lt;&gt;"新型コロナウイルス感染症",IFERROR(IFERROR(INDEX(B:B,MATCH(CQ13,CN:CN,0)),INDEX('記載様式（職員）'!B:B,MATCH(CQ13,'記載様式（職員）'!CL:CL,0))),""),"")</f>
        <v/>
      </c>
      <c r="CU13" s="166" t="str">
        <f t="shared" ref="CU13:CU22" si="7">IF(AND($C$3&lt;&gt;"新型コロナウイルス感染症",CT13&lt;&gt;""),COUNTIFS(B:B,CT13,CK:CK,TRUE),"")</f>
        <v/>
      </c>
      <c r="CV13" s="166" t="str">
        <f>IF('記載様式（職員）'!CP13="","",'記載様式（職員）'!CP13)</f>
        <v/>
      </c>
      <c r="CW13" s="166"/>
      <c r="CX13" s="166" t="str">
        <f>IF(C3&lt;&gt;"新型コロナウイルス感染症","死亡者数（累計）","")</f>
        <v>死亡者数（累計）</v>
      </c>
      <c r="CY13" s="166">
        <f>IF(C3&lt;&gt;"新型コロナウイルス感染症",COUNTA(BX13:BX112),"")</f>
        <v>0</v>
      </c>
      <c r="CZ13" s="203" t="str">
        <f>IF(C3&lt;&gt;"新型コロナウイルス感染症","ー","")</f>
        <v>ー</v>
      </c>
    </row>
    <row r="14" spans="1:104" ht="15" customHeight="1" x14ac:dyDescent="0.15">
      <c r="A14" s="86" t="str">
        <f>IFERROR(IF(B14="","",A13+1),"")</f>
        <v/>
      </c>
      <c r="B14" s="232"/>
      <c r="C14" s="233"/>
      <c r="D14" s="232"/>
      <c r="E14" s="233"/>
      <c r="F14" s="257"/>
      <c r="G14" s="258"/>
      <c r="H14" s="259"/>
      <c r="I14" s="100"/>
      <c r="J14" s="101"/>
      <c r="K14" s="102"/>
      <c r="L14" s="92"/>
      <c r="M14" s="103"/>
      <c r="N14" s="104"/>
      <c r="O14" s="215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23"/>
      <c r="BW14" s="105"/>
      <c r="BX14" s="106"/>
      <c r="BY14" s="97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9"/>
      <c r="CK14" s="6" t="b">
        <f t="shared" si="5"/>
        <v>0</v>
      </c>
      <c r="CL14" s="24" t="str">
        <f t="shared" ca="1" si="6"/>
        <v/>
      </c>
      <c r="CM14" s="35">
        <f>IF(COUNTIF($B$13:B14,B14)=1,1,0)</f>
        <v>0</v>
      </c>
      <c r="CN14" s="35">
        <f>SUM($CM$13:CM14)</f>
        <v>0</v>
      </c>
      <c r="CO14" s="24"/>
      <c r="CP14" s="24"/>
      <c r="CQ14" s="5">
        <v>2</v>
      </c>
      <c r="CR14" s="1" t="str">
        <f t="shared" ref="CR14:CR22" si="8">IFERROR(INDEX(B:B,MATCH(CQ14,CN:CN,0)),"")</f>
        <v/>
      </c>
      <c r="CT14" s="203" t="str">
        <f>IF($C$3&lt;&gt;"新型コロナウイルス感染症",IFERROR(IFERROR(INDEX(B:B,MATCH(CQ14,CN:CN,0)),INDEX('記載様式（職員）'!B:B,MATCH(CQ14,'記載様式（職員）'!CL:CL,0))),""),"")</f>
        <v/>
      </c>
      <c r="CU14" s="166" t="str">
        <f t="shared" si="7"/>
        <v/>
      </c>
      <c r="CV14" s="166" t="str">
        <f>IF('記載様式（職員）'!CP14="","",'記載様式（職員）'!CP14)</f>
        <v/>
      </c>
      <c r="CW14" s="166"/>
      <c r="CX14" s="166"/>
      <c r="CY14" s="166"/>
      <c r="CZ14" s="166"/>
    </row>
    <row r="15" spans="1:104" s="2" customFormat="1" ht="15" customHeight="1" x14ac:dyDescent="0.15">
      <c r="A15" s="86" t="str">
        <f t="shared" ref="A15:A78" si="9">IFERROR(IF(B15="","",A14+1),"")</f>
        <v/>
      </c>
      <c r="B15" s="232"/>
      <c r="C15" s="233"/>
      <c r="D15" s="232"/>
      <c r="E15" s="233"/>
      <c r="F15" s="257"/>
      <c r="G15" s="258"/>
      <c r="H15" s="259"/>
      <c r="I15" s="100"/>
      <c r="J15" s="101"/>
      <c r="K15" s="102"/>
      <c r="L15" s="92"/>
      <c r="M15" s="103"/>
      <c r="N15" s="104"/>
      <c r="O15" s="215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23"/>
      <c r="BW15" s="107"/>
      <c r="BX15" s="108"/>
      <c r="BY15" s="109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9"/>
      <c r="CK15" s="6" t="b">
        <f t="shared" si="5"/>
        <v>0</v>
      </c>
      <c r="CL15" s="24" t="str">
        <f t="shared" ca="1" si="6"/>
        <v/>
      </c>
      <c r="CM15" s="35">
        <f>IF(COUNTIF($B$13:B15,B15)=1,1,0)</f>
        <v>0</v>
      </c>
      <c r="CN15" s="35">
        <f>SUM($CM$13:CM15)</f>
        <v>0</v>
      </c>
      <c r="CO15" s="24"/>
      <c r="CP15" s="24"/>
      <c r="CQ15" s="9">
        <v>3</v>
      </c>
      <c r="CR15" s="1" t="str">
        <f t="shared" si="8"/>
        <v/>
      </c>
      <c r="CS15" s="166"/>
      <c r="CT15" s="203" t="str">
        <f>IF($C$3&lt;&gt;"新型コロナウイルス感染症",IFERROR(IFERROR(INDEX(B:B,MATCH(CQ15,CN:CN,0)),INDEX('記載様式（職員）'!B:B,MATCH(CQ15,'記載様式（職員）'!CL:CL,0))),""),"")</f>
        <v/>
      </c>
      <c r="CU15" s="166" t="str">
        <f t="shared" si="7"/>
        <v/>
      </c>
      <c r="CV15" s="166" t="str">
        <f>IF('記載様式（職員）'!CP15="","",'記載様式（職員）'!CP15)</f>
        <v/>
      </c>
      <c r="CW15" s="166"/>
      <c r="CX15" s="166"/>
      <c r="CY15" s="166"/>
      <c r="CZ15" s="166"/>
    </row>
    <row r="16" spans="1:104" ht="15" customHeight="1" x14ac:dyDescent="0.15">
      <c r="A16" s="86" t="str">
        <f t="shared" si="9"/>
        <v/>
      </c>
      <c r="B16" s="232"/>
      <c r="C16" s="233"/>
      <c r="D16" s="232"/>
      <c r="E16" s="233"/>
      <c r="F16" s="257"/>
      <c r="G16" s="258"/>
      <c r="H16" s="259"/>
      <c r="I16" s="100"/>
      <c r="J16" s="110"/>
      <c r="K16" s="102"/>
      <c r="L16" s="92"/>
      <c r="M16" s="111"/>
      <c r="N16" s="104"/>
      <c r="O16" s="215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23"/>
      <c r="BW16" s="112"/>
      <c r="BX16" s="96"/>
      <c r="BY16" s="113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5"/>
      <c r="CK16" s="6" t="b">
        <f t="shared" si="5"/>
        <v>0</v>
      </c>
      <c r="CL16" s="24" t="str">
        <f t="shared" ca="1" si="6"/>
        <v/>
      </c>
      <c r="CM16" s="35">
        <f>IF(COUNTIF($B$13:B16,B16)=1,1,0)</f>
        <v>0</v>
      </c>
      <c r="CN16" s="35">
        <f>SUM($CM$13:CM16)</f>
        <v>0</v>
      </c>
      <c r="CO16" s="24"/>
      <c r="CP16" s="24"/>
      <c r="CQ16" s="9">
        <v>4</v>
      </c>
      <c r="CR16" s="1" t="str">
        <f t="shared" si="8"/>
        <v/>
      </c>
      <c r="CT16" s="203" t="str">
        <f>IF($C$3&lt;&gt;"新型コロナウイルス感染症",IFERROR(IFERROR(INDEX(B:B,MATCH(CQ16,CN:CN,0)),INDEX('記載様式（職員）'!B:B,MATCH(CQ16,'記載様式（職員）'!CL:CL,0))),""),"")</f>
        <v/>
      </c>
      <c r="CU16" s="166" t="str">
        <f t="shared" si="7"/>
        <v/>
      </c>
      <c r="CV16" s="166" t="str">
        <f>IF('記載様式（職員）'!CP16="","",'記載様式（職員）'!CP16)</f>
        <v/>
      </c>
      <c r="CW16" s="166"/>
      <c r="CX16" s="166"/>
      <c r="CY16" s="166"/>
      <c r="CZ16" s="166"/>
    </row>
    <row r="17" spans="1:104" s="2" customFormat="1" ht="15" customHeight="1" x14ac:dyDescent="0.15">
      <c r="A17" s="86" t="str">
        <f t="shared" si="9"/>
        <v/>
      </c>
      <c r="B17" s="232"/>
      <c r="C17" s="233"/>
      <c r="D17" s="232"/>
      <c r="E17" s="233"/>
      <c r="F17" s="257"/>
      <c r="G17" s="258"/>
      <c r="H17" s="259"/>
      <c r="I17" s="102"/>
      <c r="J17" s="101"/>
      <c r="K17" s="102"/>
      <c r="L17" s="92"/>
      <c r="M17" s="103"/>
      <c r="N17" s="100"/>
      <c r="O17" s="215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23"/>
      <c r="BW17" s="112"/>
      <c r="BX17" s="96"/>
      <c r="BY17" s="109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9"/>
      <c r="CK17" s="6" t="b">
        <f t="shared" si="5"/>
        <v>0</v>
      </c>
      <c r="CL17" s="24" t="str">
        <f t="shared" ca="1" si="6"/>
        <v/>
      </c>
      <c r="CM17" s="35">
        <f>IF(COUNTIF($B$13:B17,B17)=1,1,0)</f>
        <v>0</v>
      </c>
      <c r="CN17" s="35">
        <f>SUM($CM$13:CM17)</f>
        <v>0</v>
      </c>
      <c r="CO17" s="24"/>
      <c r="CP17" s="24"/>
      <c r="CQ17" s="9">
        <v>5</v>
      </c>
      <c r="CR17" s="1" t="str">
        <f t="shared" si="8"/>
        <v/>
      </c>
      <c r="CS17" s="166"/>
      <c r="CT17" s="203" t="str">
        <f>IF($C$3&lt;&gt;"新型コロナウイルス感染症",IFERROR(IFERROR(INDEX(B:B,MATCH(CQ17,CN:CN,0)),INDEX('記載様式（職員）'!B:B,MATCH(CQ17,'記載様式（職員）'!CL:CL,0))),""),"")</f>
        <v/>
      </c>
      <c r="CU17" s="166" t="str">
        <f t="shared" si="7"/>
        <v/>
      </c>
      <c r="CV17" s="166" t="str">
        <f>IF('記載様式（職員）'!CP17="","",'記載様式（職員）'!CP17)</f>
        <v/>
      </c>
      <c r="CW17" s="166"/>
      <c r="CX17" s="166"/>
      <c r="CY17" s="166"/>
      <c r="CZ17" s="166"/>
    </row>
    <row r="18" spans="1:104" ht="15" customHeight="1" x14ac:dyDescent="0.15">
      <c r="A18" s="86" t="str">
        <f t="shared" si="9"/>
        <v/>
      </c>
      <c r="B18" s="232"/>
      <c r="C18" s="233"/>
      <c r="D18" s="232"/>
      <c r="E18" s="233"/>
      <c r="F18" s="257"/>
      <c r="G18" s="258"/>
      <c r="H18" s="259"/>
      <c r="I18" s="102"/>
      <c r="J18" s="101"/>
      <c r="K18" s="102"/>
      <c r="L18" s="92"/>
      <c r="M18" s="103"/>
      <c r="N18" s="104"/>
      <c r="O18" s="215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23"/>
      <c r="BW18" s="112"/>
      <c r="BX18" s="96"/>
      <c r="BY18" s="97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9"/>
      <c r="CK18" s="6" t="b">
        <f t="shared" si="5"/>
        <v>0</v>
      </c>
      <c r="CL18" s="24" t="str">
        <f t="shared" ca="1" si="6"/>
        <v/>
      </c>
      <c r="CM18" s="35">
        <f>IF(COUNTIF($B$13:B18,B18)=1,1,0)</f>
        <v>0</v>
      </c>
      <c r="CN18" s="35">
        <f>SUM($CM$13:CM18)</f>
        <v>0</v>
      </c>
      <c r="CO18" s="24"/>
      <c r="CP18" s="24"/>
      <c r="CQ18" s="9">
        <v>6</v>
      </c>
      <c r="CR18" s="1" t="str">
        <f t="shared" si="8"/>
        <v/>
      </c>
      <c r="CT18" s="203" t="str">
        <f>IF($C$3&lt;&gt;"新型コロナウイルス感染症",IFERROR(IFERROR(INDEX(B:B,MATCH(CQ18,CN:CN,0)),INDEX('記載様式（職員）'!B:B,MATCH(CQ18,'記載様式（職員）'!CL:CL,0))),""),"")</f>
        <v/>
      </c>
      <c r="CU18" s="166" t="str">
        <f t="shared" si="7"/>
        <v/>
      </c>
      <c r="CV18" s="166" t="str">
        <f>IF('記載様式（職員）'!CP18="","",'記載様式（職員）'!CP18)</f>
        <v/>
      </c>
      <c r="CW18" s="166"/>
      <c r="CX18" s="166"/>
      <c r="CY18" s="166"/>
      <c r="CZ18" s="166"/>
    </row>
    <row r="19" spans="1:104" ht="15" customHeight="1" x14ac:dyDescent="0.15">
      <c r="A19" s="86" t="str">
        <f t="shared" si="9"/>
        <v/>
      </c>
      <c r="B19" s="232"/>
      <c r="C19" s="233"/>
      <c r="D19" s="232"/>
      <c r="E19" s="233"/>
      <c r="F19" s="257"/>
      <c r="G19" s="258"/>
      <c r="H19" s="259"/>
      <c r="I19" s="102"/>
      <c r="J19" s="101"/>
      <c r="K19" s="102"/>
      <c r="L19" s="92"/>
      <c r="M19" s="103"/>
      <c r="N19" s="100"/>
      <c r="O19" s="215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23"/>
      <c r="BW19" s="112"/>
      <c r="BX19" s="96"/>
      <c r="BY19" s="97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9"/>
      <c r="CK19" s="6" t="b">
        <f t="shared" si="5"/>
        <v>0</v>
      </c>
      <c r="CL19" s="24" t="str">
        <f t="shared" ca="1" si="6"/>
        <v/>
      </c>
      <c r="CM19" s="35">
        <f>IF(COUNTIF($B$13:B19,B19)=1,1,0)</f>
        <v>0</v>
      </c>
      <c r="CN19" s="35">
        <f>SUM($CM$13:CM19)</f>
        <v>0</v>
      </c>
      <c r="CO19" s="24"/>
      <c r="CP19" s="24"/>
      <c r="CQ19" s="9">
        <v>7</v>
      </c>
      <c r="CR19" s="1" t="str">
        <f t="shared" si="8"/>
        <v/>
      </c>
      <c r="CT19" s="203" t="str">
        <f>IF($C$3&lt;&gt;"新型コロナウイルス感染症",IFERROR(IFERROR(INDEX(B:B,MATCH(CQ19,CN:CN,0)),INDEX('記載様式（職員）'!B:B,MATCH(CQ19,'記載様式（職員）'!CL:CL,0))),""),"")</f>
        <v/>
      </c>
      <c r="CU19" s="166" t="str">
        <f t="shared" si="7"/>
        <v/>
      </c>
      <c r="CV19" s="166" t="str">
        <f>IF('記載様式（職員）'!CP19="","",'記載様式（職員）'!CP19)</f>
        <v/>
      </c>
      <c r="CW19" s="166"/>
      <c r="CX19" s="166"/>
      <c r="CY19" s="166"/>
      <c r="CZ19" s="166"/>
    </row>
    <row r="20" spans="1:104" s="2" customFormat="1" ht="15" customHeight="1" x14ac:dyDescent="0.15">
      <c r="A20" s="86" t="str">
        <f t="shared" si="9"/>
        <v/>
      </c>
      <c r="B20" s="232"/>
      <c r="C20" s="233"/>
      <c r="D20" s="232"/>
      <c r="E20" s="233"/>
      <c r="F20" s="257"/>
      <c r="G20" s="258"/>
      <c r="H20" s="259"/>
      <c r="I20" s="102"/>
      <c r="J20" s="101"/>
      <c r="K20" s="102"/>
      <c r="L20" s="92"/>
      <c r="M20" s="103"/>
      <c r="N20" s="104"/>
      <c r="O20" s="217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23"/>
      <c r="BW20" s="116"/>
      <c r="BX20" s="96"/>
      <c r="BY20" s="113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9"/>
      <c r="CK20" s="6" t="b">
        <f t="shared" si="5"/>
        <v>0</v>
      </c>
      <c r="CL20" s="24" t="str">
        <f t="shared" ca="1" si="6"/>
        <v/>
      </c>
      <c r="CM20" s="35">
        <f>IF(COUNTIF($B$13:B20,B20)=1,1,0)</f>
        <v>0</v>
      </c>
      <c r="CN20" s="35">
        <f>SUM($CM$13:CM20)</f>
        <v>0</v>
      </c>
      <c r="CO20" s="24"/>
      <c r="CP20" s="24"/>
      <c r="CQ20" s="9">
        <v>8</v>
      </c>
      <c r="CR20" s="1" t="str">
        <f t="shared" si="8"/>
        <v/>
      </c>
      <c r="CS20" s="166"/>
      <c r="CT20" s="203" t="str">
        <f>IF($C$3&lt;&gt;"新型コロナウイルス感染症",IFERROR(IFERROR(INDEX(B:B,MATCH(CQ20,CN:CN,0)),INDEX('記載様式（職員）'!B:B,MATCH(CQ20,'記載様式（職員）'!CL:CL,0))),""),"")</f>
        <v/>
      </c>
      <c r="CU20" s="166" t="str">
        <f t="shared" si="7"/>
        <v/>
      </c>
      <c r="CV20" s="166" t="str">
        <f>IF('記載様式（職員）'!CP20="","",'記載様式（職員）'!CP20)</f>
        <v/>
      </c>
      <c r="CW20" s="166"/>
      <c r="CX20" s="166"/>
      <c r="CY20" s="166"/>
      <c r="CZ20" s="166"/>
    </row>
    <row r="21" spans="1:104" s="2" customFormat="1" ht="15" customHeight="1" x14ac:dyDescent="0.15">
      <c r="A21" s="86" t="str">
        <f t="shared" si="9"/>
        <v/>
      </c>
      <c r="B21" s="232"/>
      <c r="C21" s="233"/>
      <c r="D21" s="232"/>
      <c r="E21" s="233"/>
      <c r="F21" s="257"/>
      <c r="G21" s="258"/>
      <c r="H21" s="259"/>
      <c r="I21" s="102"/>
      <c r="J21" s="101"/>
      <c r="K21" s="102"/>
      <c r="L21" s="92"/>
      <c r="M21" s="103"/>
      <c r="N21" s="104"/>
      <c r="O21" s="217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23"/>
      <c r="BW21" s="116"/>
      <c r="BX21" s="96"/>
      <c r="BY21" s="97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9"/>
      <c r="CK21" s="6" t="b">
        <f t="shared" si="5"/>
        <v>0</v>
      </c>
      <c r="CL21" s="24" t="str">
        <f t="shared" ca="1" si="6"/>
        <v/>
      </c>
      <c r="CM21" s="35">
        <f>IF(COUNTIF($B$13:B21,B21)=1,1,0)</f>
        <v>0</v>
      </c>
      <c r="CN21" s="35">
        <f>SUM($CM$13:CM21)</f>
        <v>0</v>
      </c>
      <c r="CO21" s="24"/>
      <c r="CP21" s="24"/>
      <c r="CQ21" s="9">
        <v>9</v>
      </c>
      <c r="CR21" s="1" t="str">
        <f t="shared" si="8"/>
        <v/>
      </c>
      <c r="CS21" s="166"/>
      <c r="CT21" s="203" t="str">
        <f>IF($C$3&lt;&gt;"新型コロナウイルス感染症",IFERROR(IFERROR(INDEX(B:B,MATCH(CQ21,CN:CN,0)),INDEX('記載様式（職員）'!B:B,MATCH(CQ21,'記載様式（職員）'!CL:CL,0))),""),"")</f>
        <v/>
      </c>
      <c r="CU21" s="166" t="str">
        <f t="shared" si="7"/>
        <v/>
      </c>
      <c r="CV21" s="166" t="str">
        <f>IF('記載様式（職員）'!CP21="","",'記載様式（職員）'!CP21)</f>
        <v/>
      </c>
      <c r="CW21" s="166"/>
      <c r="CX21" s="166"/>
      <c r="CY21" s="166"/>
      <c r="CZ21" s="166"/>
    </row>
    <row r="22" spans="1:104" s="2" customFormat="1" ht="15" customHeight="1" x14ac:dyDescent="0.15">
      <c r="A22" s="86" t="str">
        <f t="shared" si="9"/>
        <v/>
      </c>
      <c r="B22" s="232"/>
      <c r="C22" s="233"/>
      <c r="D22" s="232"/>
      <c r="E22" s="233"/>
      <c r="F22" s="257"/>
      <c r="G22" s="258"/>
      <c r="H22" s="259"/>
      <c r="I22" s="102"/>
      <c r="J22" s="101"/>
      <c r="K22" s="102"/>
      <c r="L22" s="117"/>
      <c r="M22" s="103"/>
      <c r="N22" s="100"/>
      <c r="O22" s="218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24"/>
      <c r="BW22" s="116"/>
      <c r="BX22" s="96"/>
      <c r="BY22" s="109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9"/>
      <c r="CK22" s="6" t="b">
        <f t="shared" si="5"/>
        <v>0</v>
      </c>
      <c r="CL22" s="24" t="str">
        <f t="shared" ca="1" si="6"/>
        <v/>
      </c>
      <c r="CM22" s="35">
        <f>IF(COUNTIF($B$13:B22,B22)=1,1,0)</f>
        <v>0</v>
      </c>
      <c r="CN22" s="35">
        <f>SUM($CM$13:CM22)</f>
        <v>0</v>
      </c>
      <c r="CO22" s="24"/>
      <c r="CP22" s="24"/>
      <c r="CQ22" s="9">
        <v>10</v>
      </c>
      <c r="CR22" s="1" t="str">
        <f t="shared" si="8"/>
        <v/>
      </c>
      <c r="CS22" s="166"/>
      <c r="CT22" s="203" t="str">
        <f>IF($C$3&lt;&gt;"新型コロナウイルス感染症",IFERROR(IFERROR(INDEX(B:B,MATCH(CQ22,CN:CN,0)),INDEX('記載様式（職員）'!B:B,MATCH(CQ22,'記載様式（職員）'!CL:CL,0))),""),"")</f>
        <v/>
      </c>
      <c r="CU22" s="166" t="str">
        <f t="shared" si="7"/>
        <v/>
      </c>
      <c r="CV22" s="166" t="str">
        <f>IF('記載様式（職員）'!CP22="","",'記載様式（職員）'!CP22)</f>
        <v/>
      </c>
      <c r="CW22" s="166"/>
      <c r="CX22" s="166"/>
      <c r="CY22" s="166"/>
      <c r="CZ22" s="166"/>
    </row>
    <row r="23" spans="1:104" s="2" customFormat="1" ht="15" customHeight="1" x14ac:dyDescent="0.15">
      <c r="A23" s="86" t="str">
        <f t="shared" si="9"/>
        <v/>
      </c>
      <c r="B23" s="232"/>
      <c r="C23" s="233"/>
      <c r="D23" s="232"/>
      <c r="E23" s="233"/>
      <c r="F23" s="257"/>
      <c r="G23" s="258"/>
      <c r="H23" s="259"/>
      <c r="I23" s="102"/>
      <c r="J23" s="101"/>
      <c r="K23" s="102"/>
      <c r="L23" s="117"/>
      <c r="M23" s="103"/>
      <c r="N23" s="100"/>
      <c r="O23" s="218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24"/>
      <c r="BW23" s="116"/>
      <c r="BX23" s="96"/>
      <c r="BY23" s="109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9"/>
      <c r="CK23" s="6" t="b">
        <f t="shared" si="5"/>
        <v>0</v>
      </c>
      <c r="CL23" s="24" t="str">
        <f t="shared" ca="1" si="6"/>
        <v/>
      </c>
      <c r="CM23" s="35">
        <f>IF(COUNTIF($B$13:B23,B23)=1,1,0)</f>
        <v>0</v>
      </c>
      <c r="CN23" s="35">
        <f>SUM($CM$13:CM23)</f>
        <v>0</v>
      </c>
      <c r="CO23" s="24"/>
      <c r="CP23" s="24"/>
      <c r="CQ23" s="9"/>
      <c r="CS23" s="166"/>
      <c r="CT23" s="203" t="str">
        <f>IF(C3&lt;&gt;"新型コロナウイルス感染症","計","")</f>
        <v>計</v>
      </c>
      <c r="CU23" s="166">
        <f>IF(C3&lt;&gt;"新型コロナウイルス感染症",SUM(CU13:CU22),"")</f>
        <v>0</v>
      </c>
      <c r="CV23" s="166">
        <f>IF('記載様式（職員）'!CP23="","",'記載様式（職員）'!CP23)</f>
        <v>0</v>
      </c>
      <c r="CW23" s="166"/>
      <c r="CX23" s="166"/>
      <c r="CY23" s="166"/>
      <c r="CZ23" s="166"/>
    </row>
    <row r="24" spans="1:104" s="2" customFormat="1" ht="15" customHeight="1" x14ac:dyDescent="0.15">
      <c r="A24" s="86" t="str">
        <f t="shared" si="9"/>
        <v/>
      </c>
      <c r="B24" s="232"/>
      <c r="C24" s="233"/>
      <c r="D24" s="232"/>
      <c r="E24" s="233"/>
      <c r="F24" s="257"/>
      <c r="G24" s="258"/>
      <c r="H24" s="259"/>
      <c r="I24" s="102"/>
      <c r="J24" s="101"/>
      <c r="K24" s="102"/>
      <c r="L24" s="117"/>
      <c r="M24" s="103"/>
      <c r="N24" s="100"/>
      <c r="O24" s="218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24"/>
      <c r="BW24" s="116"/>
      <c r="BX24" s="96"/>
      <c r="BY24" s="109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9"/>
      <c r="CK24" s="6" t="b">
        <f t="shared" si="5"/>
        <v>0</v>
      </c>
      <c r="CL24" s="24" t="str">
        <f t="shared" ca="1" si="6"/>
        <v/>
      </c>
      <c r="CM24" s="35">
        <f>IF(COUNTIF($B$13:B24,B24)=1,1,0)</f>
        <v>0</v>
      </c>
      <c r="CN24" s="35">
        <f>SUM($CM$13:CM24)</f>
        <v>0</v>
      </c>
      <c r="CO24" s="24"/>
      <c r="CP24" s="24"/>
      <c r="CQ24" s="9"/>
      <c r="CS24" s="166"/>
      <c r="CT24" s="166" t="str">
        <f>IF(C3="新型コロナウイルス感染症","入力内容から発生人数を算出しています。WEB報告の参考としてください。","")</f>
        <v/>
      </c>
      <c r="CU24" s="166"/>
      <c r="CV24" s="166"/>
      <c r="CW24" s="166"/>
      <c r="CX24" s="166"/>
      <c r="CY24" s="166"/>
      <c r="CZ24" s="166"/>
    </row>
    <row r="25" spans="1:104" s="2" customFormat="1" ht="15" customHeight="1" x14ac:dyDescent="0.15">
      <c r="A25" s="86" t="str">
        <f t="shared" si="9"/>
        <v/>
      </c>
      <c r="B25" s="232"/>
      <c r="C25" s="233"/>
      <c r="D25" s="232"/>
      <c r="E25" s="233"/>
      <c r="F25" s="257"/>
      <c r="G25" s="258"/>
      <c r="H25" s="259"/>
      <c r="I25" s="102"/>
      <c r="J25" s="101"/>
      <c r="K25" s="102"/>
      <c r="L25" s="92"/>
      <c r="M25" s="103"/>
      <c r="N25" s="104"/>
      <c r="O25" s="218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24"/>
      <c r="BW25" s="116"/>
      <c r="BX25" s="96"/>
      <c r="BY25" s="120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5"/>
      <c r="CK25" s="6" t="b">
        <f t="shared" si="5"/>
        <v>0</v>
      </c>
      <c r="CL25" s="24" t="str">
        <f t="shared" ca="1" si="6"/>
        <v/>
      </c>
      <c r="CM25" s="35">
        <f>IF(COUNTIF($B$13:B25,B25)=1,1,0)</f>
        <v>0</v>
      </c>
      <c r="CN25" s="35">
        <f>SUM($CM$13:CM25)</f>
        <v>0</v>
      </c>
      <c r="CO25" s="24"/>
      <c r="CP25" s="24"/>
      <c r="CS25" s="166"/>
      <c r="CT25" s="166" t="str">
        <f>IF(C3="新型コロナウイルス感染症","○病棟別の陽性者数（累計）","")</f>
        <v/>
      </c>
      <c r="CU25" s="166"/>
      <c r="CV25" s="166"/>
      <c r="CW25" s="166"/>
      <c r="CX25" s="166" t="str">
        <f>IF(C3="新型コロナウイルス感染症","○死亡者数","")</f>
        <v/>
      </c>
      <c r="CY25" s="166"/>
      <c r="CZ25" s="166"/>
    </row>
    <row r="26" spans="1:104" s="2" customFormat="1" ht="15" customHeight="1" x14ac:dyDescent="0.15">
      <c r="A26" s="86" t="str">
        <f t="shared" si="9"/>
        <v/>
      </c>
      <c r="B26" s="232"/>
      <c r="C26" s="233"/>
      <c r="D26" s="232"/>
      <c r="E26" s="233"/>
      <c r="F26" s="257"/>
      <c r="G26" s="258"/>
      <c r="H26" s="259"/>
      <c r="I26" s="102"/>
      <c r="J26" s="101"/>
      <c r="K26" s="102"/>
      <c r="L26" s="117"/>
      <c r="M26" s="103"/>
      <c r="N26" s="100"/>
      <c r="O26" s="217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23"/>
      <c r="BW26" s="116"/>
      <c r="BX26" s="96"/>
      <c r="BY26" s="109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9"/>
      <c r="CK26" s="6" t="b">
        <f t="shared" si="5"/>
        <v>0</v>
      </c>
      <c r="CL26" s="24" t="str">
        <f t="shared" ca="1" si="6"/>
        <v/>
      </c>
      <c r="CM26" s="35">
        <f>IF(COUNTIF($B$13:B26,B26)=1,1,0)</f>
        <v>0</v>
      </c>
      <c r="CN26" s="35">
        <f>SUM($CM$13:CM26)</f>
        <v>0</v>
      </c>
      <c r="CO26" s="24"/>
      <c r="CP26" s="24"/>
      <c r="CS26" s="166"/>
      <c r="CT26" s="166"/>
      <c r="CU26" s="203" t="str">
        <f>IF(C3="新型コロナウイルス感染症","入院患者","")</f>
        <v/>
      </c>
      <c r="CV26" s="203" t="str">
        <f>IF(C3="新型コロナウイルス感染症","職員","")</f>
        <v/>
      </c>
      <c r="CW26" s="166"/>
      <c r="CX26" s="166"/>
      <c r="CY26" s="203" t="str">
        <f>IF(C3="新型コロナウイルス感染症","入院患者","")</f>
        <v/>
      </c>
      <c r="CZ26" s="203" t="str">
        <f>IF(C3="新型コロナウイルス感染症","職員","")</f>
        <v/>
      </c>
    </row>
    <row r="27" spans="1:104" s="2" customFormat="1" ht="15" customHeight="1" x14ac:dyDescent="0.15">
      <c r="A27" s="86" t="str">
        <f t="shared" si="9"/>
        <v/>
      </c>
      <c r="B27" s="232"/>
      <c r="C27" s="233"/>
      <c r="D27" s="232"/>
      <c r="E27" s="233"/>
      <c r="F27" s="257"/>
      <c r="G27" s="258"/>
      <c r="H27" s="259"/>
      <c r="I27" s="102"/>
      <c r="J27" s="101"/>
      <c r="K27" s="102"/>
      <c r="L27" s="117"/>
      <c r="M27" s="103"/>
      <c r="N27" s="100"/>
      <c r="O27" s="218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24"/>
      <c r="BW27" s="116"/>
      <c r="BX27" s="96"/>
      <c r="BY27" s="109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9"/>
      <c r="CK27" s="6" t="b">
        <f t="shared" si="5"/>
        <v>0</v>
      </c>
      <c r="CL27" s="24" t="str">
        <f t="shared" ca="1" si="6"/>
        <v/>
      </c>
      <c r="CM27" s="35">
        <f>IF(COUNTIF($B$13:B27,B27)=1,1,0)</f>
        <v>0</v>
      </c>
      <c r="CN27" s="35">
        <f>SUM($CM$13:CM27)</f>
        <v>0</v>
      </c>
      <c r="CO27" s="24"/>
      <c r="CP27" s="24"/>
      <c r="CS27" s="166"/>
      <c r="CT27" s="203" t="str">
        <f>IF($C$3="新型コロナウイルス感染症",IFERROR(IFERROR(INDEX(B:B,MATCH(CQ13,CN:CN,0)),INDEX('記載様式（職員）'!B:B,MATCH(CQ13,'記載様式（職員）'!CL:CL,0))),""),"")</f>
        <v/>
      </c>
      <c r="CU27" s="166" t="str">
        <f t="shared" ref="CU27:CU36" si="10">IF(AND($C$3="新型コロナウイルス感染症",CT27&lt;&gt;""),COUNTIFS(B:B,CT27,K:K,"陽性"),"")</f>
        <v/>
      </c>
      <c r="CV27" s="166" t="str">
        <f>IF('記載様式（職員）'!CP27="","",'記載様式（職員）'!CP27)</f>
        <v/>
      </c>
      <c r="CW27" s="166"/>
      <c r="CX27" s="166" t="str">
        <f>IF(C3="新型コロナウイルス感染症","死亡者数（累計）","")</f>
        <v/>
      </c>
      <c r="CY27" s="204" t="str">
        <f>IF(C3="新型コロナウイルス感染症",COUNTA(BX13:BX112),"")</f>
        <v/>
      </c>
      <c r="CZ27" s="203" t="str">
        <f>IF(C3="新型コロナウイルス感染症","ー","")</f>
        <v/>
      </c>
    </row>
    <row r="28" spans="1:104" s="2" customFormat="1" ht="15" customHeight="1" x14ac:dyDescent="0.15">
      <c r="A28" s="86" t="str">
        <f t="shared" si="9"/>
        <v/>
      </c>
      <c r="B28" s="232"/>
      <c r="C28" s="233"/>
      <c r="D28" s="232"/>
      <c r="E28" s="233"/>
      <c r="F28" s="257"/>
      <c r="G28" s="258"/>
      <c r="H28" s="259"/>
      <c r="I28" s="102"/>
      <c r="J28" s="101"/>
      <c r="K28" s="102"/>
      <c r="L28" s="92"/>
      <c r="M28" s="103"/>
      <c r="N28" s="104"/>
      <c r="O28" s="217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23"/>
      <c r="BW28" s="116"/>
      <c r="BX28" s="96"/>
      <c r="BY28" s="109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9"/>
      <c r="CK28" s="6" t="b">
        <f t="shared" si="5"/>
        <v>0</v>
      </c>
      <c r="CL28" s="24" t="str">
        <f t="shared" ca="1" si="6"/>
        <v/>
      </c>
      <c r="CM28" s="35">
        <f>IF(COUNTIF($B$13:B28,B28)=1,1,0)</f>
        <v>0</v>
      </c>
      <c r="CN28" s="35">
        <f>SUM($CM$13:CM28)</f>
        <v>0</v>
      </c>
      <c r="CO28" s="24"/>
      <c r="CP28" s="24"/>
      <c r="CQ28" s="9"/>
      <c r="CS28" s="166"/>
      <c r="CT28" s="203" t="str">
        <f>IF($C$3="新型コロナウイルス感染症",IFERROR(IFERROR(INDEX(B:B,MATCH(CQ14,CN:CN,0)),INDEX('記載様式（職員）'!B:B,MATCH(CQ14,'記載様式（職員）'!CL:CL,0))),""),"")</f>
        <v/>
      </c>
      <c r="CU28" s="166" t="str">
        <f t="shared" si="10"/>
        <v/>
      </c>
      <c r="CV28" s="166" t="str">
        <f>IF('記載様式（職員）'!CP28="","",'記載様式（職員）'!CP28)</f>
        <v/>
      </c>
      <c r="CW28" s="166"/>
      <c r="CX28" s="166"/>
      <c r="CY28" s="166"/>
      <c r="CZ28" s="166"/>
    </row>
    <row r="29" spans="1:104" s="2" customFormat="1" ht="15" customHeight="1" x14ac:dyDescent="0.15">
      <c r="A29" s="86" t="str">
        <f t="shared" si="9"/>
        <v/>
      </c>
      <c r="B29" s="232"/>
      <c r="C29" s="233"/>
      <c r="D29" s="232"/>
      <c r="E29" s="233"/>
      <c r="F29" s="257"/>
      <c r="G29" s="258"/>
      <c r="H29" s="259"/>
      <c r="I29" s="102"/>
      <c r="J29" s="101"/>
      <c r="K29" s="102"/>
      <c r="L29" s="117"/>
      <c r="M29" s="103"/>
      <c r="N29" s="100"/>
      <c r="O29" s="217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23"/>
      <c r="BW29" s="116"/>
      <c r="BX29" s="96"/>
      <c r="BY29" s="113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5"/>
      <c r="CK29" s="6" t="b">
        <f t="shared" si="5"/>
        <v>0</v>
      </c>
      <c r="CL29" s="24" t="str">
        <f t="shared" ca="1" si="6"/>
        <v/>
      </c>
      <c r="CM29" s="35">
        <f>IF(COUNTIF($B$13:B29,B29)=1,1,0)</f>
        <v>0</v>
      </c>
      <c r="CN29" s="35">
        <f>SUM($CM$13:CM29)</f>
        <v>0</v>
      </c>
      <c r="CO29" s="24"/>
      <c r="CP29" s="24"/>
      <c r="CQ29" s="9"/>
      <c r="CS29" s="166"/>
      <c r="CT29" s="203" t="str">
        <f>IF($C$3="新型コロナウイルス感染症",IFERROR(IFERROR(INDEX(B:B,MATCH(CQ15,CN:CN,0)),INDEX('記載様式（職員）'!B:B,MATCH(CQ15,'記載様式（職員）'!CL:CL,0))),""),"")</f>
        <v/>
      </c>
      <c r="CU29" s="166" t="str">
        <f t="shared" si="10"/>
        <v/>
      </c>
      <c r="CV29" s="166" t="str">
        <f>IF('記載様式（職員）'!CP29="","",'記載様式（職員）'!CP29)</f>
        <v/>
      </c>
      <c r="CW29" s="166"/>
      <c r="CX29" s="166"/>
      <c r="CY29" s="166"/>
      <c r="CZ29" s="166"/>
    </row>
    <row r="30" spans="1:104" s="2" customFormat="1" ht="15" customHeight="1" x14ac:dyDescent="0.15">
      <c r="A30" s="86" t="str">
        <f t="shared" si="9"/>
        <v/>
      </c>
      <c r="B30" s="232"/>
      <c r="C30" s="233"/>
      <c r="D30" s="232"/>
      <c r="E30" s="233"/>
      <c r="F30" s="257"/>
      <c r="G30" s="258"/>
      <c r="H30" s="259"/>
      <c r="I30" s="102"/>
      <c r="J30" s="101"/>
      <c r="K30" s="102"/>
      <c r="L30" s="117"/>
      <c r="M30" s="103"/>
      <c r="N30" s="100"/>
      <c r="O30" s="217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23"/>
      <c r="BW30" s="121"/>
      <c r="BX30" s="108"/>
      <c r="BY30" s="113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5"/>
      <c r="CK30" s="6" t="b">
        <f t="shared" si="5"/>
        <v>0</v>
      </c>
      <c r="CL30" s="24" t="str">
        <f t="shared" ca="1" si="6"/>
        <v/>
      </c>
      <c r="CM30" s="35">
        <f>IF(COUNTIF($B$13:B30,B30)=1,1,0)</f>
        <v>0</v>
      </c>
      <c r="CN30" s="35">
        <f>SUM($CM$13:CM30)</f>
        <v>0</v>
      </c>
      <c r="CO30" s="24"/>
      <c r="CP30" s="24"/>
      <c r="CS30" s="166"/>
      <c r="CT30" s="203" t="str">
        <f>IF($C$3="新型コロナウイルス感染症",IFERROR(IFERROR(INDEX(B:B,MATCH(CQ16,CN:CN,0)),INDEX('記載様式（職員）'!B:B,MATCH(CQ16,'記載様式（職員）'!CL:CL,0))),""),"")</f>
        <v/>
      </c>
      <c r="CU30" s="166" t="str">
        <f t="shared" si="10"/>
        <v/>
      </c>
      <c r="CV30" s="166" t="str">
        <f>IF('記載様式（職員）'!CP30="","",'記載様式（職員）'!CP30)</f>
        <v/>
      </c>
      <c r="CW30" s="166"/>
      <c r="CX30" s="166"/>
      <c r="CY30" s="166"/>
      <c r="CZ30" s="166"/>
    </row>
    <row r="31" spans="1:104" ht="15" customHeight="1" x14ac:dyDescent="0.15">
      <c r="A31" s="86" t="str">
        <f t="shared" si="9"/>
        <v/>
      </c>
      <c r="B31" s="232"/>
      <c r="C31" s="233"/>
      <c r="D31" s="232"/>
      <c r="E31" s="233"/>
      <c r="F31" s="257"/>
      <c r="G31" s="258"/>
      <c r="H31" s="259"/>
      <c r="I31" s="102"/>
      <c r="J31" s="101"/>
      <c r="K31" s="102"/>
      <c r="L31" s="117"/>
      <c r="M31" s="103"/>
      <c r="N31" s="100"/>
      <c r="O31" s="217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23"/>
      <c r="BW31" s="121"/>
      <c r="BX31" s="96"/>
      <c r="BY31" s="97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9"/>
      <c r="CK31" s="6" t="b">
        <f t="shared" si="5"/>
        <v>0</v>
      </c>
      <c r="CL31" s="24" t="str">
        <f t="shared" ca="1" si="6"/>
        <v/>
      </c>
      <c r="CM31" s="35">
        <f>IF(COUNTIF($B$13:B31,B31)=1,1,0)</f>
        <v>0</v>
      </c>
      <c r="CN31" s="35">
        <f>SUM($CM$13:CM31)</f>
        <v>0</v>
      </c>
      <c r="CO31" s="24"/>
      <c r="CP31" s="24"/>
      <c r="CQ31" s="5"/>
      <c r="CT31" s="203" t="str">
        <f>IF($C$3="新型コロナウイルス感染症",IFERROR(IFERROR(INDEX(B:B,MATCH(CQ17,CN:CN,0)),INDEX('記載様式（職員）'!B:B,MATCH(CQ17,'記載様式（職員）'!CL:CL,0))),""),"")</f>
        <v/>
      </c>
      <c r="CU31" s="166" t="str">
        <f t="shared" si="10"/>
        <v/>
      </c>
      <c r="CV31" s="166" t="str">
        <f>IF('記載様式（職員）'!CP31="","",'記載様式（職員）'!CP31)</f>
        <v/>
      </c>
      <c r="CW31" s="166"/>
      <c r="CX31" s="166"/>
      <c r="CY31" s="166"/>
      <c r="CZ31" s="166"/>
    </row>
    <row r="32" spans="1:104" s="2" customFormat="1" ht="15" customHeight="1" x14ac:dyDescent="0.15">
      <c r="A32" s="86" t="str">
        <f t="shared" si="9"/>
        <v/>
      </c>
      <c r="B32" s="232"/>
      <c r="C32" s="233"/>
      <c r="D32" s="232"/>
      <c r="E32" s="233"/>
      <c r="F32" s="257"/>
      <c r="G32" s="258"/>
      <c r="H32" s="259"/>
      <c r="I32" s="102"/>
      <c r="J32" s="101"/>
      <c r="K32" s="102"/>
      <c r="L32" s="117"/>
      <c r="M32" s="103"/>
      <c r="N32" s="100"/>
      <c r="O32" s="217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23"/>
      <c r="BW32" s="121"/>
      <c r="BX32" s="96"/>
      <c r="BY32" s="97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9"/>
      <c r="CK32" s="6" t="b">
        <f t="shared" si="5"/>
        <v>0</v>
      </c>
      <c r="CL32" s="24" t="str">
        <f t="shared" ca="1" si="6"/>
        <v/>
      </c>
      <c r="CM32" s="35">
        <f>IF(COUNTIF($B$13:B32,B32)=1,1,0)</f>
        <v>0</v>
      </c>
      <c r="CN32" s="35">
        <f>SUM($CM$13:CM32)</f>
        <v>0</v>
      </c>
      <c r="CO32" s="24"/>
      <c r="CP32" s="24"/>
      <c r="CS32" s="166"/>
      <c r="CT32" s="203" t="str">
        <f>IF($C$3="新型コロナウイルス感染症",IFERROR(IFERROR(INDEX(B:B,MATCH(CQ18,CN:CN,0)),INDEX('記載様式（職員）'!B:B,MATCH(CQ18,'記載様式（職員）'!CL:CL,0))),""),"")</f>
        <v/>
      </c>
      <c r="CU32" s="166" t="str">
        <f t="shared" si="10"/>
        <v/>
      </c>
      <c r="CV32" s="166" t="str">
        <f>IF('記載様式（職員）'!CP32="","",'記載様式（職員）'!CP32)</f>
        <v/>
      </c>
      <c r="CW32" s="166"/>
      <c r="CX32" s="166"/>
      <c r="CY32" s="166"/>
      <c r="CZ32" s="166"/>
    </row>
    <row r="33" spans="1:104" s="2" customFormat="1" ht="15" customHeight="1" x14ac:dyDescent="0.15">
      <c r="A33" s="86" t="str">
        <f t="shared" si="9"/>
        <v/>
      </c>
      <c r="B33" s="232"/>
      <c r="C33" s="233"/>
      <c r="D33" s="232"/>
      <c r="E33" s="233"/>
      <c r="F33" s="257"/>
      <c r="G33" s="258"/>
      <c r="H33" s="259"/>
      <c r="I33" s="102"/>
      <c r="J33" s="101"/>
      <c r="K33" s="102"/>
      <c r="L33" s="117"/>
      <c r="M33" s="103"/>
      <c r="N33" s="100"/>
      <c r="O33" s="217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23"/>
      <c r="BW33" s="121"/>
      <c r="BX33" s="96"/>
      <c r="BY33" s="97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9"/>
      <c r="CK33" s="6" t="b">
        <f t="shared" si="5"/>
        <v>0</v>
      </c>
      <c r="CL33" s="24" t="str">
        <f t="shared" ca="1" si="6"/>
        <v/>
      </c>
      <c r="CM33" s="35">
        <f>IF(COUNTIF($B$13:B33,B33)=1,1,0)</f>
        <v>0</v>
      </c>
      <c r="CN33" s="35">
        <f>SUM($CM$13:CM33)</f>
        <v>0</v>
      </c>
      <c r="CO33" s="24"/>
      <c r="CP33" s="24"/>
      <c r="CS33" s="166"/>
      <c r="CT33" s="203" t="str">
        <f>IF($C$3="新型コロナウイルス感染症",IFERROR(IFERROR(INDEX(B:B,MATCH(CQ19,CN:CN,0)),INDEX('記載様式（職員）'!B:B,MATCH(CQ19,'記載様式（職員）'!CL:CL,0))),""),"")</f>
        <v/>
      </c>
      <c r="CU33" s="166" t="str">
        <f t="shared" si="10"/>
        <v/>
      </c>
      <c r="CV33" s="166" t="str">
        <f>IF('記載様式（職員）'!CP33="","",'記載様式（職員）'!CP33)</f>
        <v/>
      </c>
      <c r="CW33" s="166"/>
      <c r="CX33" s="166"/>
      <c r="CY33" s="166"/>
      <c r="CZ33" s="166"/>
    </row>
    <row r="34" spans="1:104" s="2" customFormat="1" ht="15" customHeight="1" x14ac:dyDescent="0.15">
      <c r="A34" s="86" t="str">
        <f t="shared" si="9"/>
        <v/>
      </c>
      <c r="B34" s="232"/>
      <c r="C34" s="233"/>
      <c r="D34" s="232"/>
      <c r="E34" s="233"/>
      <c r="F34" s="257"/>
      <c r="G34" s="258"/>
      <c r="H34" s="259"/>
      <c r="I34" s="102"/>
      <c r="J34" s="101"/>
      <c r="K34" s="102"/>
      <c r="L34" s="117"/>
      <c r="M34" s="103"/>
      <c r="N34" s="100"/>
      <c r="O34" s="217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23"/>
      <c r="BW34" s="121"/>
      <c r="BX34" s="96"/>
      <c r="BY34" s="97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9"/>
      <c r="CK34" s="6" t="b">
        <f t="shared" si="5"/>
        <v>0</v>
      </c>
      <c r="CL34" s="24" t="str">
        <f t="shared" ca="1" si="6"/>
        <v/>
      </c>
      <c r="CM34" s="35">
        <f>IF(COUNTIF($B$13:B34,B34)=1,1,0)</f>
        <v>0</v>
      </c>
      <c r="CN34" s="35">
        <f>SUM($CM$13:CM34)</f>
        <v>0</v>
      </c>
      <c r="CO34" s="24"/>
      <c r="CP34" s="24"/>
      <c r="CS34" s="166"/>
      <c r="CT34" s="203" t="str">
        <f>IF($C$3="新型コロナウイルス感染症",IFERROR(IFERROR(INDEX(B:B,MATCH(CQ20,CN:CN,0)),INDEX('記載様式（職員）'!B:B,MATCH(CQ20,'記載様式（職員）'!CL:CL,0))),""),"")</f>
        <v/>
      </c>
      <c r="CU34" s="166" t="str">
        <f t="shared" si="10"/>
        <v/>
      </c>
      <c r="CV34" s="166" t="str">
        <f>IF('記載様式（職員）'!CP34="","",'記載様式（職員）'!CP34)</f>
        <v/>
      </c>
      <c r="CW34" s="166"/>
      <c r="CX34" s="166"/>
      <c r="CY34" s="166"/>
      <c r="CZ34" s="166"/>
    </row>
    <row r="35" spans="1:104" ht="15" customHeight="1" x14ac:dyDescent="0.15">
      <c r="A35" s="86" t="str">
        <f t="shared" si="9"/>
        <v/>
      </c>
      <c r="B35" s="232"/>
      <c r="C35" s="233"/>
      <c r="D35" s="232"/>
      <c r="E35" s="233"/>
      <c r="F35" s="257"/>
      <c r="G35" s="258"/>
      <c r="H35" s="259"/>
      <c r="I35" s="102"/>
      <c r="J35" s="101"/>
      <c r="K35" s="102"/>
      <c r="L35" s="117"/>
      <c r="M35" s="103"/>
      <c r="N35" s="100"/>
      <c r="O35" s="217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23"/>
      <c r="BW35" s="121"/>
      <c r="BX35" s="96"/>
      <c r="BY35" s="97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9"/>
      <c r="CK35" s="6" t="b">
        <f t="shared" si="5"/>
        <v>0</v>
      </c>
      <c r="CL35" s="24" t="str">
        <f t="shared" ca="1" si="6"/>
        <v/>
      </c>
      <c r="CM35" s="35">
        <f>IF(COUNTIF($B$13:B35,B35)=1,1,0)</f>
        <v>0</v>
      </c>
      <c r="CN35" s="35">
        <f>SUM($CM$13:CM35)</f>
        <v>0</v>
      </c>
      <c r="CO35" s="24"/>
      <c r="CP35" s="24"/>
      <c r="CQ35" s="5"/>
      <c r="CT35" s="203" t="str">
        <f>IF($C$3="新型コロナウイルス感染症",IFERROR(IFERROR(INDEX(B:B,MATCH(CQ21,CN:CN,0)),INDEX('記載様式（職員）'!B:B,MATCH(CQ21,'記載様式（職員）'!CL:CL,0))),""),"")</f>
        <v/>
      </c>
      <c r="CU35" s="166" t="str">
        <f t="shared" si="10"/>
        <v/>
      </c>
      <c r="CV35" s="166" t="str">
        <f>IF('記載様式（職員）'!CP35="","",'記載様式（職員）'!CP35)</f>
        <v/>
      </c>
      <c r="CW35" s="166"/>
      <c r="CX35" s="166"/>
      <c r="CY35" s="166"/>
      <c r="CZ35" s="166"/>
    </row>
    <row r="36" spans="1:104" ht="15" customHeight="1" x14ac:dyDescent="0.15">
      <c r="A36" s="86" t="str">
        <f t="shared" si="9"/>
        <v/>
      </c>
      <c r="B36" s="232"/>
      <c r="C36" s="233"/>
      <c r="D36" s="232"/>
      <c r="E36" s="233"/>
      <c r="F36" s="257"/>
      <c r="G36" s="258"/>
      <c r="H36" s="259"/>
      <c r="I36" s="102"/>
      <c r="J36" s="101"/>
      <c r="K36" s="102"/>
      <c r="L36" s="117"/>
      <c r="M36" s="103"/>
      <c r="N36" s="100"/>
      <c r="O36" s="217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23"/>
      <c r="BW36" s="121"/>
      <c r="BX36" s="96"/>
      <c r="BY36" s="97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9"/>
      <c r="CK36" s="6" t="b">
        <f t="shared" si="5"/>
        <v>0</v>
      </c>
      <c r="CL36" s="24" t="str">
        <f t="shared" ca="1" si="6"/>
        <v/>
      </c>
      <c r="CM36" s="35">
        <f>IF(COUNTIF($B$13:B36,B36)=1,1,0)</f>
        <v>0</v>
      </c>
      <c r="CN36" s="35">
        <f>SUM($CM$13:CM36)</f>
        <v>0</v>
      </c>
      <c r="CO36" s="24"/>
      <c r="CP36" s="24"/>
      <c r="CQ36" s="5"/>
      <c r="CT36" s="203" t="str">
        <f>IF($C$3="新型コロナウイルス感染症",IFERROR(IFERROR(INDEX(B:B,MATCH(CQ22,CN:CN,0)),INDEX('記載様式（職員）'!B:B,MATCH(CQ22,'記載様式（職員）'!CL:CL,0))),""),"")</f>
        <v/>
      </c>
      <c r="CU36" s="166" t="str">
        <f t="shared" si="10"/>
        <v/>
      </c>
      <c r="CV36" s="166" t="str">
        <f>IF('記載様式（職員）'!CP36="","",'記載様式（職員）'!CP36)</f>
        <v/>
      </c>
      <c r="CW36" s="166"/>
      <c r="CX36" s="166"/>
      <c r="CY36" s="166"/>
      <c r="CZ36" s="166"/>
    </row>
    <row r="37" spans="1:104" ht="15" customHeight="1" x14ac:dyDescent="0.15">
      <c r="A37" s="86" t="str">
        <f t="shared" si="9"/>
        <v/>
      </c>
      <c r="B37" s="232"/>
      <c r="C37" s="233"/>
      <c r="D37" s="232"/>
      <c r="E37" s="233"/>
      <c r="F37" s="257"/>
      <c r="G37" s="258"/>
      <c r="H37" s="259"/>
      <c r="I37" s="100"/>
      <c r="J37" s="110"/>
      <c r="K37" s="102"/>
      <c r="L37" s="117"/>
      <c r="M37" s="111"/>
      <c r="N37" s="100"/>
      <c r="O37" s="217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23"/>
      <c r="BW37" s="122"/>
      <c r="BX37" s="123"/>
      <c r="BY37" s="124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6"/>
      <c r="CK37" s="6" t="b">
        <f t="shared" si="5"/>
        <v>0</v>
      </c>
      <c r="CL37" s="24" t="str">
        <f t="shared" ca="1" si="6"/>
        <v/>
      </c>
      <c r="CM37" s="35">
        <f>IF(COUNTIF($B$13:B37,B37)=1,1,0)</f>
        <v>0</v>
      </c>
      <c r="CN37" s="35">
        <f>SUM($CM$13:CM37)</f>
        <v>0</v>
      </c>
      <c r="CO37" s="24"/>
      <c r="CP37" s="24"/>
      <c r="CQ37" s="5"/>
      <c r="CT37" s="203" t="str">
        <f>IF(C3="新型コロナウイルス感染症","計","")</f>
        <v/>
      </c>
      <c r="CU37" s="166" t="str">
        <f>IF(C3="新型コロナウイルス感染症",SUM(CU27:CU36),"")</f>
        <v/>
      </c>
      <c r="CV37" s="166" t="str">
        <f>IF(C3="新型コロナウイルス感染症",SUM(CV27:CV36),"")</f>
        <v/>
      </c>
      <c r="CW37" s="166"/>
      <c r="CX37" s="166"/>
      <c r="CY37" s="166"/>
      <c r="CZ37" s="166"/>
    </row>
    <row r="38" spans="1:104" s="2" customFormat="1" ht="15" customHeight="1" x14ac:dyDescent="0.15">
      <c r="A38" s="86" t="str">
        <f t="shared" si="9"/>
        <v/>
      </c>
      <c r="B38" s="232"/>
      <c r="C38" s="233"/>
      <c r="D38" s="232"/>
      <c r="E38" s="233"/>
      <c r="F38" s="257"/>
      <c r="G38" s="258"/>
      <c r="H38" s="259"/>
      <c r="I38" s="102"/>
      <c r="J38" s="102"/>
      <c r="K38" s="102"/>
      <c r="L38" s="117"/>
      <c r="M38" s="103"/>
      <c r="N38" s="100"/>
      <c r="O38" s="217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23"/>
      <c r="BW38" s="121"/>
      <c r="BX38" s="108"/>
      <c r="BY38" s="113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5"/>
      <c r="CK38" s="6" t="b">
        <f t="shared" si="5"/>
        <v>0</v>
      </c>
      <c r="CL38" s="24" t="str">
        <f t="shared" ca="1" si="6"/>
        <v/>
      </c>
      <c r="CM38" s="35">
        <f>IF(COUNTIF($B$13:B38,B38)=1,1,0)</f>
        <v>0</v>
      </c>
      <c r="CN38" s="35">
        <f>SUM($CM$13:CM38)</f>
        <v>0</v>
      </c>
      <c r="CO38" s="24"/>
      <c r="CP38" s="24"/>
      <c r="CS38" s="166"/>
      <c r="CT38" s="166"/>
      <c r="CU38" s="166"/>
      <c r="CV38" s="166"/>
      <c r="CW38" s="166"/>
      <c r="CX38" s="166"/>
      <c r="CY38" s="166"/>
      <c r="CZ38" s="166"/>
    </row>
    <row r="39" spans="1:104" s="2" customFormat="1" ht="15" customHeight="1" x14ac:dyDescent="0.15">
      <c r="A39" s="86" t="str">
        <f t="shared" si="9"/>
        <v/>
      </c>
      <c r="B39" s="232"/>
      <c r="C39" s="233"/>
      <c r="D39" s="232"/>
      <c r="E39" s="233"/>
      <c r="F39" s="257"/>
      <c r="G39" s="258"/>
      <c r="H39" s="259"/>
      <c r="I39" s="100"/>
      <c r="J39" s="100"/>
      <c r="K39" s="102"/>
      <c r="L39" s="117"/>
      <c r="M39" s="111"/>
      <c r="N39" s="100"/>
      <c r="O39" s="217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23"/>
      <c r="BW39" s="122"/>
      <c r="BX39" s="123"/>
      <c r="BY39" s="113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5"/>
      <c r="CK39" s="6" t="b">
        <f t="shared" si="5"/>
        <v>0</v>
      </c>
      <c r="CL39" s="24" t="str">
        <f t="shared" ca="1" si="6"/>
        <v/>
      </c>
      <c r="CM39" s="35">
        <f>IF(COUNTIF($B$13:B39,B39)=1,1,0)</f>
        <v>0</v>
      </c>
      <c r="CN39" s="35">
        <f>SUM($CM$13:CM39)</f>
        <v>0</v>
      </c>
      <c r="CO39" s="24"/>
      <c r="CP39" s="24"/>
      <c r="CS39" s="166"/>
      <c r="CT39" s="166"/>
      <c r="CU39" s="166"/>
      <c r="CV39" s="166"/>
      <c r="CW39" s="166"/>
      <c r="CX39" s="166"/>
      <c r="CY39" s="166"/>
      <c r="CZ39" s="166"/>
    </row>
    <row r="40" spans="1:104" s="2" customFormat="1" ht="15" customHeight="1" x14ac:dyDescent="0.15">
      <c r="A40" s="86" t="str">
        <f t="shared" si="9"/>
        <v/>
      </c>
      <c r="B40" s="232"/>
      <c r="C40" s="233"/>
      <c r="D40" s="232"/>
      <c r="E40" s="233"/>
      <c r="F40" s="257"/>
      <c r="G40" s="258"/>
      <c r="H40" s="259"/>
      <c r="I40" s="100"/>
      <c r="J40" s="100"/>
      <c r="K40" s="102"/>
      <c r="L40" s="117"/>
      <c r="M40" s="111"/>
      <c r="N40" s="100"/>
      <c r="O40" s="217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23"/>
      <c r="BW40" s="122"/>
      <c r="BX40" s="123"/>
      <c r="BY40" s="113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5"/>
      <c r="CK40" s="6" t="b">
        <f t="shared" si="5"/>
        <v>0</v>
      </c>
      <c r="CL40" s="24" t="str">
        <f t="shared" ca="1" si="6"/>
        <v/>
      </c>
      <c r="CM40" s="35">
        <f>IF(COUNTIF($B$13:B40,B40)=1,1,0)</f>
        <v>0</v>
      </c>
      <c r="CN40" s="35">
        <f>SUM($CM$13:CM40)</f>
        <v>0</v>
      </c>
      <c r="CO40" s="24"/>
      <c r="CP40" s="24"/>
      <c r="CS40" s="166"/>
      <c r="CT40" s="166"/>
      <c r="CU40" s="166"/>
      <c r="CV40" s="166"/>
      <c r="CW40" s="166"/>
      <c r="CX40" s="166"/>
      <c r="CY40" s="166"/>
      <c r="CZ40" s="166"/>
    </row>
    <row r="41" spans="1:104" s="2" customFormat="1" ht="15" customHeight="1" x14ac:dyDescent="0.15">
      <c r="A41" s="86" t="str">
        <f t="shared" si="9"/>
        <v/>
      </c>
      <c r="B41" s="232"/>
      <c r="C41" s="233"/>
      <c r="D41" s="232"/>
      <c r="E41" s="233"/>
      <c r="F41" s="257"/>
      <c r="G41" s="258"/>
      <c r="H41" s="259"/>
      <c r="I41" s="100"/>
      <c r="J41" s="100"/>
      <c r="K41" s="102"/>
      <c r="L41" s="117"/>
      <c r="M41" s="111"/>
      <c r="N41" s="100"/>
      <c r="O41" s="217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23"/>
      <c r="BW41" s="122"/>
      <c r="BX41" s="123"/>
      <c r="BY41" s="113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5"/>
      <c r="CK41" s="6" t="b">
        <f t="shared" si="5"/>
        <v>0</v>
      </c>
      <c r="CL41" s="24" t="str">
        <f t="shared" ca="1" si="6"/>
        <v/>
      </c>
      <c r="CM41" s="35">
        <f>IF(COUNTIF($B$13:B41,B41)=1,1,0)</f>
        <v>0</v>
      </c>
      <c r="CN41" s="35">
        <f>SUM($CM$13:CM41)</f>
        <v>0</v>
      </c>
      <c r="CO41" s="24"/>
      <c r="CP41" s="24"/>
      <c r="CS41" s="166"/>
      <c r="CT41" s="166"/>
      <c r="CU41" s="166"/>
      <c r="CV41" s="166"/>
      <c r="CW41" s="166"/>
      <c r="CX41" s="166"/>
      <c r="CY41" s="166"/>
      <c r="CZ41" s="166"/>
    </row>
    <row r="42" spans="1:104" s="2" customFormat="1" ht="15" customHeight="1" x14ac:dyDescent="0.15">
      <c r="A42" s="86" t="str">
        <f t="shared" si="9"/>
        <v/>
      </c>
      <c r="B42" s="232"/>
      <c r="C42" s="233"/>
      <c r="D42" s="232"/>
      <c r="E42" s="233"/>
      <c r="F42" s="257"/>
      <c r="G42" s="258"/>
      <c r="H42" s="259"/>
      <c r="I42" s="100"/>
      <c r="J42" s="100"/>
      <c r="K42" s="102"/>
      <c r="L42" s="117"/>
      <c r="M42" s="111"/>
      <c r="N42" s="100"/>
      <c r="O42" s="217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23"/>
      <c r="BW42" s="122"/>
      <c r="BX42" s="123"/>
      <c r="BY42" s="113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5"/>
      <c r="CK42" s="6" t="b">
        <f t="shared" si="5"/>
        <v>0</v>
      </c>
      <c r="CL42" s="24" t="str">
        <f t="shared" ca="1" si="6"/>
        <v/>
      </c>
      <c r="CM42" s="35">
        <f>IF(COUNTIF($B$13:B42,B42)=1,1,0)</f>
        <v>0</v>
      </c>
      <c r="CN42" s="35">
        <f>SUM($CM$13:CM42)</f>
        <v>0</v>
      </c>
      <c r="CO42" s="24"/>
      <c r="CP42" s="24"/>
      <c r="CS42" s="166"/>
      <c r="CT42" s="166"/>
      <c r="CU42" s="166"/>
      <c r="CV42" s="166"/>
      <c r="CW42" s="166"/>
      <c r="CX42" s="166"/>
      <c r="CY42" s="166"/>
      <c r="CZ42" s="166"/>
    </row>
    <row r="43" spans="1:104" s="2" customFormat="1" ht="15" customHeight="1" x14ac:dyDescent="0.15">
      <c r="A43" s="86" t="str">
        <f t="shared" si="9"/>
        <v/>
      </c>
      <c r="B43" s="232"/>
      <c r="C43" s="233"/>
      <c r="D43" s="232"/>
      <c r="E43" s="233"/>
      <c r="F43" s="257"/>
      <c r="G43" s="258"/>
      <c r="H43" s="259"/>
      <c r="I43" s="100"/>
      <c r="J43" s="100"/>
      <c r="K43" s="102"/>
      <c r="L43" s="117"/>
      <c r="M43" s="111"/>
      <c r="N43" s="100"/>
      <c r="O43" s="217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23"/>
      <c r="BW43" s="122"/>
      <c r="BX43" s="123"/>
      <c r="BY43" s="113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5"/>
      <c r="CK43" s="6" t="b">
        <f t="shared" si="5"/>
        <v>0</v>
      </c>
      <c r="CL43" s="24" t="str">
        <f t="shared" ca="1" si="6"/>
        <v/>
      </c>
      <c r="CM43" s="35">
        <f>IF(COUNTIF($B$13:B43,B43)=1,1,0)</f>
        <v>0</v>
      </c>
      <c r="CN43" s="35">
        <f>SUM($CM$13:CM43)</f>
        <v>0</v>
      </c>
      <c r="CO43" s="24"/>
      <c r="CP43" s="24"/>
      <c r="CS43" s="166"/>
      <c r="CT43" s="166"/>
      <c r="CU43" s="166"/>
      <c r="CV43" s="166"/>
      <c r="CW43" s="166"/>
      <c r="CX43" s="166"/>
      <c r="CY43" s="166"/>
      <c r="CZ43" s="166"/>
    </row>
    <row r="44" spans="1:104" s="2" customFormat="1" ht="15" customHeight="1" x14ac:dyDescent="0.15">
      <c r="A44" s="86" t="str">
        <f t="shared" si="9"/>
        <v/>
      </c>
      <c r="B44" s="232"/>
      <c r="C44" s="233"/>
      <c r="D44" s="232"/>
      <c r="E44" s="233"/>
      <c r="F44" s="257"/>
      <c r="G44" s="258"/>
      <c r="H44" s="259"/>
      <c r="I44" s="100"/>
      <c r="J44" s="100"/>
      <c r="K44" s="102"/>
      <c r="L44" s="117"/>
      <c r="M44" s="111"/>
      <c r="N44" s="100"/>
      <c r="O44" s="217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23"/>
      <c r="BW44" s="122"/>
      <c r="BX44" s="123"/>
      <c r="BY44" s="113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5"/>
      <c r="CK44" s="6" t="b">
        <f t="shared" si="5"/>
        <v>0</v>
      </c>
      <c r="CL44" s="24" t="str">
        <f t="shared" ca="1" si="6"/>
        <v/>
      </c>
      <c r="CM44" s="35">
        <f>IF(COUNTIF($B$13:B44,B44)=1,1,0)</f>
        <v>0</v>
      </c>
      <c r="CN44" s="35">
        <f>SUM($CM$13:CM44)</f>
        <v>0</v>
      </c>
      <c r="CO44" s="24"/>
      <c r="CP44" s="24"/>
      <c r="CS44" s="166"/>
      <c r="CT44" s="166"/>
      <c r="CU44" s="166"/>
      <c r="CV44" s="166"/>
      <c r="CW44" s="166"/>
      <c r="CX44" s="166"/>
      <c r="CY44" s="166"/>
      <c r="CZ44" s="166"/>
    </row>
    <row r="45" spans="1:104" s="2" customFormat="1" ht="15" customHeight="1" x14ac:dyDescent="0.15">
      <c r="A45" s="86" t="str">
        <f t="shared" si="9"/>
        <v/>
      </c>
      <c r="B45" s="232"/>
      <c r="C45" s="233"/>
      <c r="D45" s="232"/>
      <c r="E45" s="233"/>
      <c r="F45" s="257"/>
      <c r="G45" s="258"/>
      <c r="H45" s="259"/>
      <c r="I45" s="100"/>
      <c r="J45" s="100"/>
      <c r="K45" s="102"/>
      <c r="L45" s="117"/>
      <c r="M45" s="111"/>
      <c r="N45" s="100"/>
      <c r="O45" s="217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23"/>
      <c r="BW45" s="122"/>
      <c r="BX45" s="123"/>
      <c r="BY45" s="113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5"/>
      <c r="CK45" s="6" t="b">
        <f t="shared" ref="CK45:CK77" si="11">COUNTIF(O45:BV45,"○")&gt;0</f>
        <v>0</v>
      </c>
      <c r="CL45" s="24" t="str">
        <f t="shared" ref="CL45:CL76" ca="1" si="12">IFERROR(OFFSET($O$9,0,MATCH("○",O45:BV45,0)-1,1,1),"")</f>
        <v/>
      </c>
      <c r="CM45" s="35">
        <f>IF(COUNTIF($B$13:B45,B45)=1,1,0)</f>
        <v>0</v>
      </c>
      <c r="CN45" s="35">
        <f>SUM($CM$13:CM45)</f>
        <v>0</v>
      </c>
      <c r="CO45" s="24"/>
      <c r="CP45" s="24"/>
      <c r="CS45" s="166"/>
      <c r="CT45" s="166"/>
      <c r="CU45" s="166"/>
      <c r="CV45" s="166"/>
      <c r="CW45" s="166"/>
      <c r="CX45" s="166"/>
      <c r="CY45" s="166"/>
      <c r="CZ45" s="166"/>
    </row>
    <row r="46" spans="1:104" s="2" customFormat="1" ht="15" customHeight="1" x14ac:dyDescent="0.15">
      <c r="A46" s="86" t="str">
        <f t="shared" si="9"/>
        <v/>
      </c>
      <c r="B46" s="232"/>
      <c r="C46" s="233"/>
      <c r="D46" s="232"/>
      <c r="E46" s="233"/>
      <c r="F46" s="257"/>
      <c r="G46" s="258"/>
      <c r="H46" s="259"/>
      <c r="I46" s="100"/>
      <c r="J46" s="100"/>
      <c r="K46" s="102"/>
      <c r="L46" s="117"/>
      <c r="M46" s="111"/>
      <c r="N46" s="100"/>
      <c r="O46" s="217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23"/>
      <c r="BW46" s="122"/>
      <c r="BX46" s="123"/>
      <c r="BY46" s="113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5"/>
      <c r="CK46" s="6" t="b">
        <f t="shared" si="11"/>
        <v>0</v>
      </c>
      <c r="CL46" s="24" t="str">
        <f t="shared" ca="1" si="12"/>
        <v/>
      </c>
      <c r="CM46" s="35">
        <f>IF(COUNTIF($B$13:B46,B46)=1,1,0)</f>
        <v>0</v>
      </c>
      <c r="CN46" s="35">
        <f>SUM($CM$13:CM46)</f>
        <v>0</v>
      </c>
      <c r="CO46" s="24"/>
      <c r="CP46" s="24"/>
      <c r="CS46" s="166"/>
      <c r="CT46" s="166"/>
      <c r="CU46" s="166"/>
      <c r="CV46" s="166"/>
      <c r="CW46" s="166"/>
      <c r="CX46" s="166"/>
      <c r="CY46" s="166"/>
      <c r="CZ46" s="166"/>
    </row>
    <row r="47" spans="1:104" s="2" customFormat="1" ht="15" customHeight="1" x14ac:dyDescent="0.15">
      <c r="A47" s="86" t="str">
        <f t="shared" si="9"/>
        <v/>
      </c>
      <c r="B47" s="232"/>
      <c r="C47" s="233"/>
      <c r="D47" s="232"/>
      <c r="E47" s="233"/>
      <c r="F47" s="257"/>
      <c r="G47" s="258"/>
      <c r="H47" s="259"/>
      <c r="I47" s="100"/>
      <c r="J47" s="100"/>
      <c r="K47" s="102"/>
      <c r="L47" s="117"/>
      <c r="M47" s="111"/>
      <c r="N47" s="100"/>
      <c r="O47" s="217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23"/>
      <c r="BW47" s="122"/>
      <c r="BX47" s="123"/>
      <c r="BY47" s="113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5"/>
      <c r="CK47" s="6" t="b">
        <f t="shared" si="11"/>
        <v>0</v>
      </c>
      <c r="CL47" s="24" t="str">
        <f t="shared" ca="1" si="12"/>
        <v/>
      </c>
      <c r="CM47" s="35">
        <f>IF(COUNTIF($B$13:B47,B47)=1,1,0)</f>
        <v>0</v>
      </c>
      <c r="CN47" s="35">
        <f>SUM($CM$13:CM47)</f>
        <v>0</v>
      </c>
      <c r="CO47" s="24"/>
      <c r="CP47" s="24"/>
      <c r="CS47" s="166"/>
      <c r="CT47" s="166"/>
      <c r="CU47" s="166"/>
      <c r="CV47" s="166"/>
      <c r="CW47" s="166"/>
      <c r="CX47" s="166"/>
      <c r="CY47" s="166"/>
      <c r="CZ47" s="166"/>
    </row>
    <row r="48" spans="1:104" s="2" customFormat="1" ht="15" customHeight="1" x14ac:dyDescent="0.15">
      <c r="A48" s="86" t="str">
        <f t="shared" si="9"/>
        <v/>
      </c>
      <c r="B48" s="232"/>
      <c r="C48" s="233"/>
      <c r="D48" s="232"/>
      <c r="E48" s="233"/>
      <c r="F48" s="257"/>
      <c r="G48" s="258"/>
      <c r="H48" s="259"/>
      <c r="I48" s="100"/>
      <c r="J48" s="100"/>
      <c r="K48" s="102"/>
      <c r="L48" s="117"/>
      <c r="M48" s="111"/>
      <c r="N48" s="100"/>
      <c r="O48" s="217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23"/>
      <c r="BW48" s="122"/>
      <c r="BX48" s="123"/>
      <c r="BY48" s="113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5"/>
      <c r="CK48" s="6" t="b">
        <f t="shared" si="11"/>
        <v>0</v>
      </c>
      <c r="CL48" s="24" t="str">
        <f t="shared" ca="1" si="12"/>
        <v/>
      </c>
      <c r="CM48" s="35">
        <f>IF(COUNTIF($B$13:B48,B48)=1,1,0)</f>
        <v>0</v>
      </c>
      <c r="CN48" s="35">
        <f>SUM($CM$13:CM48)</f>
        <v>0</v>
      </c>
      <c r="CO48" s="24"/>
      <c r="CP48" s="24"/>
      <c r="CS48" s="166"/>
      <c r="CT48" s="166"/>
      <c r="CU48" s="166"/>
      <c r="CV48" s="166"/>
      <c r="CW48" s="166"/>
      <c r="CX48" s="166"/>
      <c r="CY48" s="166"/>
      <c r="CZ48" s="166"/>
    </row>
    <row r="49" spans="1:104" s="2" customFormat="1" ht="15" customHeight="1" x14ac:dyDescent="0.15">
      <c r="A49" s="86" t="str">
        <f t="shared" si="9"/>
        <v/>
      </c>
      <c r="B49" s="232"/>
      <c r="C49" s="233"/>
      <c r="D49" s="232"/>
      <c r="E49" s="233"/>
      <c r="F49" s="257"/>
      <c r="G49" s="258"/>
      <c r="H49" s="259"/>
      <c r="I49" s="100"/>
      <c r="J49" s="100"/>
      <c r="K49" s="102"/>
      <c r="L49" s="117"/>
      <c r="M49" s="111"/>
      <c r="N49" s="100"/>
      <c r="O49" s="217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23"/>
      <c r="BW49" s="122"/>
      <c r="BX49" s="123"/>
      <c r="BY49" s="113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5"/>
      <c r="CK49" s="6" t="b">
        <f t="shared" si="11"/>
        <v>0</v>
      </c>
      <c r="CL49" s="24" t="str">
        <f t="shared" ca="1" si="12"/>
        <v/>
      </c>
      <c r="CM49" s="35">
        <f>IF(COUNTIF($B$13:B49,B49)=1,1,0)</f>
        <v>0</v>
      </c>
      <c r="CN49" s="35">
        <f>SUM($CM$13:CM49)</f>
        <v>0</v>
      </c>
      <c r="CO49" s="24"/>
      <c r="CP49" s="24"/>
      <c r="CS49" s="166"/>
      <c r="CT49" s="166"/>
      <c r="CU49" s="166"/>
      <c r="CV49" s="166"/>
      <c r="CW49" s="166"/>
      <c r="CX49" s="166"/>
      <c r="CY49" s="166"/>
      <c r="CZ49" s="166"/>
    </row>
    <row r="50" spans="1:104" s="2" customFormat="1" ht="15" customHeight="1" x14ac:dyDescent="0.15">
      <c r="A50" s="86" t="str">
        <f t="shared" si="9"/>
        <v/>
      </c>
      <c r="B50" s="232"/>
      <c r="C50" s="233"/>
      <c r="D50" s="232"/>
      <c r="E50" s="233"/>
      <c r="F50" s="257"/>
      <c r="G50" s="258"/>
      <c r="H50" s="259"/>
      <c r="I50" s="100"/>
      <c r="J50" s="100"/>
      <c r="K50" s="102"/>
      <c r="L50" s="117"/>
      <c r="M50" s="111"/>
      <c r="N50" s="100"/>
      <c r="O50" s="217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23"/>
      <c r="BW50" s="122"/>
      <c r="BX50" s="123"/>
      <c r="BY50" s="113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5"/>
      <c r="CK50" s="6" t="b">
        <f t="shared" si="11"/>
        <v>0</v>
      </c>
      <c r="CL50" s="24" t="str">
        <f t="shared" ca="1" si="12"/>
        <v/>
      </c>
      <c r="CM50" s="35">
        <f>IF(COUNTIF($B$13:B50,B50)=1,1,0)</f>
        <v>0</v>
      </c>
      <c r="CN50" s="35">
        <f>SUM($CM$13:CM50)</f>
        <v>0</v>
      </c>
      <c r="CO50" s="24"/>
      <c r="CP50" s="24"/>
      <c r="CS50" s="166"/>
      <c r="CT50" s="166"/>
      <c r="CU50" s="166"/>
      <c r="CV50" s="166"/>
      <c r="CW50" s="166"/>
      <c r="CX50" s="166"/>
      <c r="CY50" s="166"/>
      <c r="CZ50" s="166"/>
    </row>
    <row r="51" spans="1:104" s="2" customFormat="1" ht="15" customHeight="1" x14ac:dyDescent="0.15">
      <c r="A51" s="86" t="str">
        <f t="shared" si="9"/>
        <v/>
      </c>
      <c r="B51" s="232"/>
      <c r="C51" s="233"/>
      <c r="D51" s="232"/>
      <c r="E51" s="233"/>
      <c r="F51" s="257"/>
      <c r="G51" s="258"/>
      <c r="H51" s="259"/>
      <c r="I51" s="102"/>
      <c r="J51" s="127"/>
      <c r="K51" s="102"/>
      <c r="L51" s="117"/>
      <c r="M51" s="128"/>
      <c r="N51" s="100"/>
      <c r="O51" s="217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23"/>
      <c r="BW51" s="129"/>
      <c r="BX51" s="130"/>
      <c r="BY51" s="113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5"/>
      <c r="CK51" s="6" t="b">
        <f t="shared" si="11"/>
        <v>0</v>
      </c>
      <c r="CL51" s="24" t="str">
        <f t="shared" ca="1" si="12"/>
        <v/>
      </c>
      <c r="CM51" s="35">
        <f>IF(COUNTIF($B$13:B51,B51)=1,1,0)</f>
        <v>0</v>
      </c>
      <c r="CN51" s="35">
        <f>SUM($CM$13:CM51)</f>
        <v>0</v>
      </c>
      <c r="CO51" s="24"/>
      <c r="CP51" s="24"/>
      <c r="CS51" s="166"/>
      <c r="CT51" s="166"/>
      <c r="CU51" s="166"/>
      <c r="CV51" s="166"/>
      <c r="CW51" s="166"/>
      <c r="CX51" s="166"/>
      <c r="CY51" s="166"/>
      <c r="CZ51" s="166"/>
    </row>
    <row r="52" spans="1:104" s="2" customFormat="1" ht="15" customHeight="1" x14ac:dyDescent="0.15">
      <c r="A52" s="86" t="str">
        <f t="shared" si="9"/>
        <v/>
      </c>
      <c r="B52" s="232"/>
      <c r="C52" s="233"/>
      <c r="D52" s="232"/>
      <c r="E52" s="233"/>
      <c r="F52" s="257"/>
      <c r="G52" s="258"/>
      <c r="H52" s="259"/>
      <c r="I52" s="102"/>
      <c r="J52" s="127"/>
      <c r="K52" s="102"/>
      <c r="L52" s="117"/>
      <c r="M52" s="128"/>
      <c r="N52" s="100"/>
      <c r="O52" s="217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23"/>
      <c r="BW52" s="129"/>
      <c r="BX52" s="130"/>
      <c r="BY52" s="113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5"/>
      <c r="CK52" s="6" t="b">
        <f t="shared" si="11"/>
        <v>0</v>
      </c>
      <c r="CL52" s="24" t="str">
        <f t="shared" ca="1" si="12"/>
        <v/>
      </c>
      <c r="CM52" s="35">
        <f>IF(COUNTIF($B$13:B52,B52)=1,1,0)</f>
        <v>0</v>
      </c>
      <c r="CN52" s="35">
        <f>SUM($CM$13:CM52)</f>
        <v>0</v>
      </c>
      <c r="CO52" s="24"/>
      <c r="CP52" s="24"/>
      <c r="CS52" s="166"/>
      <c r="CT52" s="166"/>
      <c r="CU52" s="166"/>
      <c r="CV52" s="166"/>
      <c r="CW52" s="166"/>
      <c r="CX52" s="166"/>
      <c r="CY52" s="166"/>
      <c r="CZ52" s="166"/>
    </row>
    <row r="53" spans="1:104" s="2" customFormat="1" ht="15" customHeight="1" x14ac:dyDescent="0.15">
      <c r="A53" s="86" t="str">
        <f t="shared" si="9"/>
        <v/>
      </c>
      <c r="B53" s="232"/>
      <c r="C53" s="233"/>
      <c r="D53" s="232"/>
      <c r="E53" s="233"/>
      <c r="F53" s="257"/>
      <c r="G53" s="258"/>
      <c r="H53" s="259"/>
      <c r="I53" s="102"/>
      <c r="J53" s="127"/>
      <c r="K53" s="102"/>
      <c r="L53" s="117"/>
      <c r="M53" s="128"/>
      <c r="N53" s="100"/>
      <c r="O53" s="217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23"/>
      <c r="BW53" s="129"/>
      <c r="BX53" s="130"/>
      <c r="BY53" s="113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5"/>
      <c r="CK53" s="6" t="b">
        <f t="shared" si="11"/>
        <v>0</v>
      </c>
      <c r="CL53" s="24" t="str">
        <f t="shared" ca="1" si="12"/>
        <v/>
      </c>
      <c r="CM53" s="35">
        <f>IF(COUNTIF($B$13:B53,B53)=1,1,0)</f>
        <v>0</v>
      </c>
      <c r="CN53" s="35">
        <f>SUM($CM$13:CM53)</f>
        <v>0</v>
      </c>
      <c r="CO53" s="24"/>
      <c r="CP53" s="24"/>
      <c r="CS53" s="166"/>
      <c r="CT53" s="166"/>
      <c r="CU53" s="166"/>
      <c r="CV53" s="166"/>
      <c r="CW53" s="166"/>
      <c r="CX53" s="166"/>
      <c r="CY53" s="166"/>
      <c r="CZ53" s="166"/>
    </row>
    <row r="54" spans="1:104" s="2" customFormat="1" ht="15" customHeight="1" x14ac:dyDescent="0.15">
      <c r="A54" s="86" t="str">
        <f t="shared" si="9"/>
        <v/>
      </c>
      <c r="B54" s="232"/>
      <c r="C54" s="233"/>
      <c r="D54" s="232"/>
      <c r="E54" s="233"/>
      <c r="F54" s="257"/>
      <c r="G54" s="258"/>
      <c r="H54" s="259"/>
      <c r="I54" s="102"/>
      <c r="J54" s="127"/>
      <c r="K54" s="102"/>
      <c r="L54" s="117"/>
      <c r="M54" s="128"/>
      <c r="N54" s="100"/>
      <c r="O54" s="217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23"/>
      <c r="BW54" s="129"/>
      <c r="BX54" s="130"/>
      <c r="BY54" s="113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5"/>
      <c r="CK54" s="6" t="b">
        <f t="shared" si="11"/>
        <v>0</v>
      </c>
      <c r="CL54" s="24" t="str">
        <f t="shared" ca="1" si="12"/>
        <v/>
      </c>
      <c r="CM54" s="35">
        <f>IF(COUNTIF($B$13:B54,B54)=1,1,0)</f>
        <v>0</v>
      </c>
      <c r="CN54" s="35">
        <f>SUM($CM$13:CM54)</f>
        <v>0</v>
      </c>
      <c r="CO54" s="24"/>
      <c r="CP54" s="24"/>
      <c r="CS54" s="166"/>
      <c r="CT54" s="166"/>
      <c r="CU54" s="166"/>
      <c r="CV54" s="166"/>
      <c r="CW54" s="166"/>
      <c r="CX54" s="166"/>
      <c r="CY54" s="166"/>
      <c r="CZ54" s="166"/>
    </row>
    <row r="55" spans="1:104" s="2" customFormat="1" ht="15" customHeight="1" x14ac:dyDescent="0.15">
      <c r="A55" s="86" t="str">
        <f t="shared" si="9"/>
        <v/>
      </c>
      <c r="B55" s="232"/>
      <c r="C55" s="233"/>
      <c r="D55" s="232"/>
      <c r="E55" s="233"/>
      <c r="F55" s="257"/>
      <c r="G55" s="258"/>
      <c r="H55" s="259"/>
      <c r="I55" s="102"/>
      <c r="J55" s="127"/>
      <c r="K55" s="102"/>
      <c r="L55" s="117"/>
      <c r="M55" s="128"/>
      <c r="N55" s="100"/>
      <c r="O55" s="217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23"/>
      <c r="BW55" s="129"/>
      <c r="BX55" s="130"/>
      <c r="BY55" s="113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5"/>
      <c r="CK55" s="6" t="b">
        <f t="shared" si="11"/>
        <v>0</v>
      </c>
      <c r="CL55" s="24" t="str">
        <f t="shared" ca="1" si="12"/>
        <v/>
      </c>
      <c r="CM55" s="35">
        <f>IF(COUNTIF($B$13:B55,B55)=1,1,0)</f>
        <v>0</v>
      </c>
      <c r="CN55" s="35">
        <f>SUM($CM$13:CM55)</f>
        <v>0</v>
      </c>
      <c r="CO55" s="24"/>
      <c r="CP55" s="24"/>
      <c r="CS55" s="166"/>
      <c r="CT55" s="166"/>
      <c r="CU55" s="166"/>
      <c r="CV55" s="166"/>
      <c r="CW55" s="166"/>
      <c r="CX55" s="166"/>
      <c r="CY55" s="166"/>
      <c r="CZ55" s="166"/>
    </row>
    <row r="56" spans="1:104" s="2" customFormat="1" ht="15" customHeight="1" x14ac:dyDescent="0.15">
      <c r="A56" s="86" t="str">
        <f t="shared" si="9"/>
        <v/>
      </c>
      <c r="B56" s="232"/>
      <c r="C56" s="233"/>
      <c r="D56" s="232"/>
      <c r="E56" s="233"/>
      <c r="F56" s="257"/>
      <c r="G56" s="258"/>
      <c r="H56" s="259"/>
      <c r="I56" s="102"/>
      <c r="J56" s="127"/>
      <c r="K56" s="102"/>
      <c r="L56" s="117"/>
      <c r="M56" s="128"/>
      <c r="N56" s="100"/>
      <c r="O56" s="217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23"/>
      <c r="BW56" s="129"/>
      <c r="BX56" s="130"/>
      <c r="BY56" s="113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5"/>
      <c r="CK56" s="6" t="b">
        <f t="shared" si="11"/>
        <v>0</v>
      </c>
      <c r="CL56" s="24" t="str">
        <f t="shared" ca="1" si="12"/>
        <v/>
      </c>
      <c r="CM56" s="35">
        <f>IF(COUNTIF($B$13:B56,B56)=1,1,0)</f>
        <v>0</v>
      </c>
      <c r="CN56" s="35">
        <f>SUM($CM$13:CM56)</f>
        <v>0</v>
      </c>
      <c r="CO56" s="24"/>
      <c r="CP56" s="24"/>
      <c r="CS56" s="166"/>
      <c r="CT56" s="166"/>
      <c r="CU56" s="166"/>
      <c r="CV56" s="166"/>
      <c r="CW56" s="166"/>
      <c r="CX56" s="166"/>
      <c r="CY56" s="166"/>
      <c r="CZ56" s="166"/>
    </row>
    <row r="57" spans="1:104" s="2" customFormat="1" ht="15" customHeight="1" x14ac:dyDescent="0.15">
      <c r="A57" s="86" t="str">
        <f t="shared" si="9"/>
        <v/>
      </c>
      <c r="B57" s="232"/>
      <c r="C57" s="233"/>
      <c r="D57" s="232"/>
      <c r="E57" s="233"/>
      <c r="F57" s="257"/>
      <c r="G57" s="258"/>
      <c r="H57" s="259"/>
      <c r="I57" s="102"/>
      <c r="J57" s="127"/>
      <c r="K57" s="102"/>
      <c r="L57" s="117"/>
      <c r="M57" s="128"/>
      <c r="N57" s="100"/>
      <c r="O57" s="217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23"/>
      <c r="BW57" s="129"/>
      <c r="BX57" s="130"/>
      <c r="BY57" s="113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5"/>
      <c r="CK57" s="6" t="b">
        <f t="shared" si="11"/>
        <v>0</v>
      </c>
      <c r="CL57" s="24" t="str">
        <f t="shared" ca="1" si="12"/>
        <v/>
      </c>
      <c r="CM57" s="35">
        <f>IF(COUNTIF($B$13:B57,B57)=1,1,0)</f>
        <v>0</v>
      </c>
      <c r="CN57" s="35">
        <f>SUM($CM$13:CM57)</f>
        <v>0</v>
      </c>
      <c r="CO57" s="24"/>
      <c r="CP57" s="24"/>
      <c r="CS57" s="166"/>
      <c r="CT57" s="166"/>
      <c r="CU57" s="166"/>
      <c r="CV57" s="166"/>
      <c r="CW57" s="166"/>
      <c r="CX57" s="166"/>
      <c r="CY57" s="166"/>
      <c r="CZ57" s="166"/>
    </row>
    <row r="58" spans="1:104" s="2" customFormat="1" ht="15" customHeight="1" x14ac:dyDescent="0.15">
      <c r="A58" s="86" t="str">
        <f t="shared" si="9"/>
        <v/>
      </c>
      <c r="B58" s="232"/>
      <c r="C58" s="233"/>
      <c r="D58" s="232"/>
      <c r="E58" s="233"/>
      <c r="F58" s="257"/>
      <c r="G58" s="258"/>
      <c r="H58" s="259"/>
      <c r="I58" s="102"/>
      <c r="J58" s="127"/>
      <c r="K58" s="102"/>
      <c r="L58" s="117"/>
      <c r="M58" s="128"/>
      <c r="N58" s="100"/>
      <c r="O58" s="217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23"/>
      <c r="BW58" s="129"/>
      <c r="BX58" s="130"/>
      <c r="BY58" s="113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5"/>
      <c r="CK58" s="6" t="b">
        <f t="shared" si="11"/>
        <v>0</v>
      </c>
      <c r="CL58" s="24" t="str">
        <f t="shared" ca="1" si="12"/>
        <v/>
      </c>
      <c r="CM58" s="35">
        <f>IF(COUNTIF($B$13:B58,B58)=1,1,0)</f>
        <v>0</v>
      </c>
      <c r="CN58" s="35">
        <f>SUM($CM$13:CM58)</f>
        <v>0</v>
      </c>
      <c r="CO58" s="24"/>
      <c r="CP58" s="24"/>
      <c r="CS58" s="166"/>
      <c r="CT58" s="166"/>
      <c r="CU58" s="166"/>
      <c r="CV58" s="166"/>
      <c r="CW58" s="166"/>
      <c r="CX58" s="166"/>
      <c r="CY58" s="166"/>
      <c r="CZ58" s="166"/>
    </row>
    <row r="59" spans="1:104" s="2" customFormat="1" ht="15" customHeight="1" x14ac:dyDescent="0.15">
      <c r="A59" s="86" t="str">
        <f t="shared" si="9"/>
        <v/>
      </c>
      <c r="B59" s="232"/>
      <c r="C59" s="233"/>
      <c r="D59" s="232"/>
      <c r="E59" s="233"/>
      <c r="F59" s="257"/>
      <c r="G59" s="258"/>
      <c r="H59" s="259"/>
      <c r="I59" s="102"/>
      <c r="J59" s="127"/>
      <c r="K59" s="102"/>
      <c r="L59" s="117"/>
      <c r="M59" s="128"/>
      <c r="N59" s="100"/>
      <c r="O59" s="217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23"/>
      <c r="BW59" s="129"/>
      <c r="BX59" s="130"/>
      <c r="BY59" s="113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5"/>
      <c r="CK59" s="6" t="b">
        <f t="shared" si="11"/>
        <v>0</v>
      </c>
      <c r="CL59" s="24" t="str">
        <f t="shared" ca="1" si="12"/>
        <v/>
      </c>
      <c r="CM59" s="35">
        <f>IF(COUNTIF($B$13:B59,B59)=1,1,0)</f>
        <v>0</v>
      </c>
      <c r="CN59" s="35">
        <f>SUM($CM$13:CM59)</f>
        <v>0</v>
      </c>
      <c r="CO59" s="24"/>
      <c r="CP59" s="24"/>
      <c r="CS59" s="166"/>
      <c r="CT59" s="166"/>
      <c r="CU59" s="166"/>
      <c r="CV59" s="166"/>
      <c r="CW59" s="166"/>
      <c r="CX59" s="166"/>
      <c r="CY59" s="166"/>
      <c r="CZ59" s="166"/>
    </row>
    <row r="60" spans="1:104" s="2" customFormat="1" ht="15" customHeight="1" x14ac:dyDescent="0.15">
      <c r="A60" s="86" t="str">
        <f t="shared" si="9"/>
        <v/>
      </c>
      <c r="B60" s="232"/>
      <c r="C60" s="233"/>
      <c r="D60" s="232"/>
      <c r="E60" s="233"/>
      <c r="F60" s="257"/>
      <c r="G60" s="258"/>
      <c r="H60" s="259"/>
      <c r="I60" s="102"/>
      <c r="J60" s="127"/>
      <c r="K60" s="102"/>
      <c r="L60" s="117"/>
      <c r="M60" s="128"/>
      <c r="N60" s="100"/>
      <c r="O60" s="217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23"/>
      <c r="BW60" s="129"/>
      <c r="BX60" s="130"/>
      <c r="BY60" s="113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5"/>
      <c r="CK60" s="6" t="b">
        <f t="shared" si="11"/>
        <v>0</v>
      </c>
      <c r="CL60" s="24" t="str">
        <f t="shared" ca="1" si="12"/>
        <v/>
      </c>
      <c r="CM60" s="35">
        <f>IF(COUNTIF($B$13:B60,B60)=1,1,0)</f>
        <v>0</v>
      </c>
      <c r="CN60" s="35">
        <f>SUM($CM$13:CM60)</f>
        <v>0</v>
      </c>
      <c r="CO60" s="24"/>
      <c r="CP60" s="24"/>
      <c r="CS60" s="166"/>
      <c r="CT60" s="166"/>
      <c r="CU60" s="166"/>
      <c r="CV60" s="166"/>
      <c r="CW60" s="166"/>
      <c r="CX60" s="166"/>
      <c r="CY60" s="166"/>
      <c r="CZ60" s="166"/>
    </row>
    <row r="61" spans="1:104" s="2" customFormat="1" ht="15" customHeight="1" x14ac:dyDescent="0.15">
      <c r="A61" s="86" t="str">
        <f t="shared" si="9"/>
        <v/>
      </c>
      <c r="B61" s="232"/>
      <c r="C61" s="233"/>
      <c r="D61" s="232"/>
      <c r="E61" s="233"/>
      <c r="F61" s="257"/>
      <c r="G61" s="258"/>
      <c r="H61" s="259"/>
      <c r="I61" s="102"/>
      <c r="J61" s="127"/>
      <c r="K61" s="102"/>
      <c r="L61" s="117"/>
      <c r="M61" s="128"/>
      <c r="N61" s="100"/>
      <c r="O61" s="217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23"/>
      <c r="BW61" s="129"/>
      <c r="BX61" s="130"/>
      <c r="BY61" s="113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5"/>
      <c r="CK61" s="6" t="b">
        <f t="shared" si="11"/>
        <v>0</v>
      </c>
      <c r="CL61" s="24" t="str">
        <f t="shared" ca="1" si="12"/>
        <v/>
      </c>
      <c r="CM61" s="35">
        <f>IF(COUNTIF($B$13:B61,B61)=1,1,0)</f>
        <v>0</v>
      </c>
      <c r="CN61" s="35">
        <f>SUM($CM$13:CM61)</f>
        <v>0</v>
      </c>
      <c r="CO61" s="24"/>
      <c r="CP61" s="24"/>
      <c r="CS61" s="166"/>
      <c r="CT61" s="166"/>
      <c r="CU61" s="166"/>
      <c r="CV61" s="166"/>
      <c r="CW61" s="166"/>
      <c r="CX61" s="166"/>
      <c r="CY61" s="166"/>
      <c r="CZ61" s="166"/>
    </row>
    <row r="62" spans="1:104" s="2" customFormat="1" ht="15" customHeight="1" x14ac:dyDescent="0.15">
      <c r="A62" s="86" t="str">
        <f t="shared" si="9"/>
        <v/>
      </c>
      <c r="B62" s="232"/>
      <c r="C62" s="233"/>
      <c r="D62" s="232"/>
      <c r="E62" s="233"/>
      <c r="F62" s="257"/>
      <c r="G62" s="258"/>
      <c r="H62" s="259"/>
      <c r="I62" s="102"/>
      <c r="J62" s="127"/>
      <c r="K62" s="102"/>
      <c r="L62" s="131"/>
      <c r="M62" s="128"/>
      <c r="N62" s="102"/>
      <c r="O62" s="217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23"/>
      <c r="BW62" s="129"/>
      <c r="BX62" s="130"/>
      <c r="BY62" s="113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5"/>
      <c r="CK62" s="6" t="b">
        <f t="shared" si="11"/>
        <v>0</v>
      </c>
      <c r="CL62" s="24" t="str">
        <f t="shared" ca="1" si="12"/>
        <v/>
      </c>
      <c r="CM62" s="35">
        <f>IF(COUNTIF($B$13:B62,B62)=1,1,0)</f>
        <v>0</v>
      </c>
      <c r="CN62" s="35">
        <f>SUM($CM$13:CM62)</f>
        <v>0</v>
      </c>
      <c r="CO62" s="24"/>
      <c r="CP62" s="24"/>
      <c r="CS62" s="166"/>
      <c r="CT62" s="166"/>
      <c r="CU62" s="166"/>
      <c r="CV62" s="166"/>
      <c r="CW62" s="166"/>
      <c r="CX62" s="166"/>
      <c r="CY62" s="166"/>
      <c r="CZ62" s="166"/>
    </row>
    <row r="63" spans="1:104" x14ac:dyDescent="0.15">
      <c r="A63" s="86" t="str">
        <f t="shared" si="9"/>
        <v/>
      </c>
      <c r="B63" s="232"/>
      <c r="C63" s="233"/>
      <c r="D63" s="232"/>
      <c r="E63" s="233"/>
      <c r="F63" s="257"/>
      <c r="G63" s="258"/>
      <c r="H63" s="259"/>
      <c r="I63" s="102"/>
      <c r="J63" s="127"/>
      <c r="K63" s="102"/>
      <c r="L63" s="131"/>
      <c r="M63" s="128"/>
      <c r="N63" s="102"/>
      <c r="O63" s="217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23"/>
      <c r="BW63" s="129"/>
      <c r="BX63" s="130"/>
      <c r="BY63" s="113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5"/>
      <c r="CK63" s="6" t="b">
        <f t="shared" si="11"/>
        <v>0</v>
      </c>
      <c r="CL63" s="24" t="str">
        <f t="shared" ca="1" si="12"/>
        <v/>
      </c>
      <c r="CM63" s="35">
        <f>IF(COUNTIF($B$13:B63,B63)=1,1,0)</f>
        <v>0</v>
      </c>
      <c r="CN63" s="35">
        <f>SUM($CM$13:CM63)</f>
        <v>0</v>
      </c>
      <c r="CO63" s="24"/>
      <c r="CP63" s="24"/>
      <c r="CQ63" s="2"/>
      <c r="CT63" s="166"/>
      <c r="CU63" s="166"/>
      <c r="CV63" s="166"/>
      <c r="CW63" s="166"/>
      <c r="CX63" s="166"/>
      <c r="CY63" s="166"/>
      <c r="CZ63" s="166"/>
    </row>
    <row r="64" spans="1:104" x14ac:dyDescent="0.15">
      <c r="A64" s="86" t="str">
        <f t="shared" si="9"/>
        <v/>
      </c>
      <c r="B64" s="232"/>
      <c r="C64" s="233"/>
      <c r="D64" s="232"/>
      <c r="E64" s="233"/>
      <c r="F64" s="257"/>
      <c r="G64" s="258"/>
      <c r="H64" s="259"/>
      <c r="I64" s="102"/>
      <c r="J64" s="127"/>
      <c r="K64" s="102"/>
      <c r="L64" s="131"/>
      <c r="M64" s="128"/>
      <c r="N64" s="102"/>
      <c r="O64" s="217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23"/>
      <c r="BW64" s="129"/>
      <c r="BX64" s="130"/>
      <c r="BY64" s="113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5"/>
      <c r="CK64" s="6" t="b">
        <f t="shared" si="11"/>
        <v>0</v>
      </c>
      <c r="CL64" s="24" t="str">
        <f t="shared" ca="1" si="12"/>
        <v/>
      </c>
      <c r="CM64" s="35">
        <f>IF(COUNTIF($B$13:B64,B64)=1,1,0)</f>
        <v>0</v>
      </c>
      <c r="CN64" s="35">
        <f>SUM($CM$13:CM64)</f>
        <v>0</v>
      </c>
      <c r="CO64" s="24"/>
      <c r="CP64" s="24"/>
      <c r="CQ64" s="2"/>
      <c r="CT64" s="166"/>
      <c r="CU64" s="166"/>
      <c r="CV64" s="166"/>
      <c r="CW64" s="166"/>
      <c r="CX64" s="166"/>
      <c r="CY64" s="166"/>
      <c r="CZ64" s="166"/>
    </row>
    <row r="65" spans="1:104" x14ac:dyDescent="0.15">
      <c r="A65" s="86" t="str">
        <f t="shared" si="9"/>
        <v/>
      </c>
      <c r="B65" s="232"/>
      <c r="C65" s="233"/>
      <c r="D65" s="232"/>
      <c r="E65" s="233"/>
      <c r="F65" s="257"/>
      <c r="G65" s="258"/>
      <c r="H65" s="259"/>
      <c r="I65" s="102"/>
      <c r="J65" s="127"/>
      <c r="K65" s="102"/>
      <c r="L65" s="131"/>
      <c r="M65" s="128"/>
      <c r="N65" s="102"/>
      <c r="O65" s="217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23"/>
      <c r="BW65" s="129"/>
      <c r="BX65" s="130"/>
      <c r="BY65" s="113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5"/>
      <c r="CK65" s="6" t="b">
        <f t="shared" si="11"/>
        <v>0</v>
      </c>
      <c r="CL65" s="24" t="str">
        <f t="shared" ca="1" si="12"/>
        <v/>
      </c>
      <c r="CM65" s="35">
        <f>IF(COUNTIF($B$13:B65,B65)=1,1,0)</f>
        <v>0</v>
      </c>
      <c r="CN65" s="35">
        <f>SUM($CM$13:CM65)</f>
        <v>0</v>
      </c>
      <c r="CO65" s="24"/>
      <c r="CP65" s="24"/>
      <c r="CT65" s="166"/>
      <c r="CU65" s="166"/>
      <c r="CV65" s="166"/>
      <c r="CW65" s="166"/>
      <c r="CX65" s="166"/>
      <c r="CY65" s="166"/>
      <c r="CZ65" s="166"/>
    </row>
    <row r="66" spans="1:104" x14ac:dyDescent="0.15">
      <c r="A66" s="86" t="str">
        <f t="shared" si="9"/>
        <v/>
      </c>
      <c r="B66" s="232"/>
      <c r="C66" s="233"/>
      <c r="D66" s="232"/>
      <c r="E66" s="233"/>
      <c r="F66" s="257"/>
      <c r="G66" s="258"/>
      <c r="H66" s="259"/>
      <c r="I66" s="102"/>
      <c r="J66" s="127"/>
      <c r="K66" s="102"/>
      <c r="L66" s="131"/>
      <c r="M66" s="128"/>
      <c r="N66" s="102"/>
      <c r="O66" s="217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23"/>
      <c r="BW66" s="129"/>
      <c r="BX66" s="130"/>
      <c r="BY66" s="113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5"/>
      <c r="CK66" s="6" t="b">
        <f t="shared" si="11"/>
        <v>0</v>
      </c>
      <c r="CL66" s="24" t="str">
        <f t="shared" ca="1" si="12"/>
        <v/>
      </c>
      <c r="CM66" s="35">
        <f>IF(COUNTIF($B$13:B66,B66)=1,1,0)</f>
        <v>0</v>
      </c>
      <c r="CN66" s="35">
        <f>SUM($CM$13:CM66)</f>
        <v>0</v>
      </c>
      <c r="CO66" s="24"/>
      <c r="CP66" s="24"/>
      <c r="CT66" s="166"/>
      <c r="CU66" s="166"/>
      <c r="CV66" s="166"/>
      <c r="CW66" s="166"/>
      <c r="CX66" s="166"/>
      <c r="CY66" s="166"/>
      <c r="CZ66" s="166"/>
    </row>
    <row r="67" spans="1:104" x14ac:dyDescent="0.15">
      <c r="A67" s="86" t="str">
        <f t="shared" si="9"/>
        <v/>
      </c>
      <c r="B67" s="232"/>
      <c r="C67" s="233"/>
      <c r="D67" s="232"/>
      <c r="E67" s="233"/>
      <c r="F67" s="257"/>
      <c r="G67" s="258"/>
      <c r="H67" s="259"/>
      <c r="I67" s="102"/>
      <c r="J67" s="127"/>
      <c r="K67" s="102"/>
      <c r="L67" s="131"/>
      <c r="M67" s="128"/>
      <c r="N67" s="102"/>
      <c r="O67" s="217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23"/>
      <c r="BW67" s="129"/>
      <c r="BX67" s="130"/>
      <c r="BY67" s="113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5"/>
      <c r="CK67" s="6" t="b">
        <f t="shared" si="11"/>
        <v>0</v>
      </c>
      <c r="CL67" s="24" t="str">
        <f t="shared" ca="1" si="12"/>
        <v/>
      </c>
      <c r="CM67" s="35">
        <f>IF(COUNTIF($B$13:B67,B67)=1,1,0)</f>
        <v>0</v>
      </c>
      <c r="CN67" s="35">
        <f>SUM($CM$13:CM67)</f>
        <v>0</v>
      </c>
      <c r="CO67" s="24"/>
      <c r="CP67" s="24"/>
      <c r="CT67" s="166"/>
      <c r="CU67" s="166"/>
      <c r="CV67" s="166"/>
      <c r="CW67" s="166"/>
      <c r="CX67" s="166"/>
      <c r="CY67" s="166"/>
      <c r="CZ67" s="166"/>
    </row>
    <row r="68" spans="1:104" x14ac:dyDescent="0.15">
      <c r="A68" s="86" t="str">
        <f t="shared" si="9"/>
        <v/>
      </c>
      <c r="B68" s="232"/>
      <c r="C68" s="233"/>
      <c r="D68" s="232"/>
      <c r="E68" s="233"/>
      <c r="F68" s="257"/>
      <c r="G68" s="258"/>
      <c r="H68" s="259"/>
      <c r="I68" s="102"/>
      <c r="J68" s="127"/>
      <c r="K68" s="102"/>
      <c r="L68" s="131"/>
      <c r="M68" s="128"/>
      <c r="N68" s="102"/>
      <c r="O68" s="217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23"/>
      <c r="BW68" s="129"/>
      <c r="BX68" s="130"/>
      <c r="BY68" s="113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5"/>
      <c r="CK68" s="6" t="b">
        <f t="shared" si="11"/>
        <v>0</v>
      </c>
      <c r="CL68" s="24" t="str">
        <f t="shared" ca="1" si="12"/>
        <v/>
      </c>
      <c r="CM68" s="35">
        <f>IF(COUNTIF($B$13:B68,B68)=1,1,0)</f>
        <v>0</v>
      </c>
      <c r="CN68" s="35">
        <f>SUM($CM$13:CM68)</f>
        <v>0</v>
      </c>
      <c r="CO68" s="24"/>
      <c r="CP68" s="24"/>
      <c r="CT68" s="166"/>
      <c r="CU68" s="166"/>
      <c r="CV68" s="166"/>
      <c r="CW68" s="166"/>
      <c r="CX68" s="166"/>
      <c r="CY68" s="166"/>
      <c r="CZ68" s="166"/>
    </row>
    <row r="69" spans="1:104" x14ac:dyDescent="0.15">
      <c r="A69" s="86" t="str">
        <f t="shared" si="9"/>
        <v/>
      </c>
      <c r="B69" s="232"/>
      <c r="C69" s="233"/>
      <c r="D69" s="232"/>
      <c r="E69" s="233"/>
      <c r="F69" s="257"/>
      <c r="G69" s="258"/>
      <c r="H69" s="259"/>
      <c r="I69" s="102"/>
      <c r="J69" s="127"/>
      <c r="K69" s="102"/>
      <c r="L69" s="131"/>
      <c r="M69" s="128"/>
      <c r="N69" s="102"/>
      <c r="O69" s="217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23"/>
      <c r="BW69" s="129"/>
      <c r="BX69" s="130"/>
      <c r="BY69" s="113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5"/>
      <c r="CK69" s="6" t="b">
        <f t="shared" si="11"/>
        <v>0</v>
      </c>
      <c r="CL69" s="24" t="str">
        <f t="shared" ca="1" si="12"/>
        <v/>
      </c>
      <c r="CM69" s="35">
        <f>IF(COUNTIF($B$13:B69,B69)=1,1,0)</f>
        <v>0</v>
      </c>
      <c r="CN69" s="35">
        <f>SUM($CM$13:CM69)</f>
        <v>0</v>
      </c>
      <c r="CO69" s="24"/>
      <c r="CP69" s="24"/>
      <c r="CT69" s="166"/>
      <c r="CU69" s="166"/>
      <c r="CV69" s="166"/>
      <c r="CW69" s="166"/>
      <c r="CX69" s="166"/>
      <c r="CY69" s="166"/>
      <c r="CZ69" s="166"/>
    </row>
    <row r="70" spans="1:104" x14ac:dyDescent="0.15">
      <c r="A70" s="86" t="str">
        <f t="shared" si="9"/>
        <v/>
      </c>
      <c r="B70" s="232"/>
      <c r="C70" s="233"/>
      <c r="D70" s="232"/>
      <c r="E70" s="233"/>
      <c r="F70" s="257"/>
      <c r="G70" s="258"/>
      <c r="H70" s="259"/>
      <c r="I70" s="102"/>
      <c r="J70" s="127"/>
      <c r="K70" s="102"/>
      <c r="L70" s="131"/>
      <c r="M70" s="128"/>
      <c r="N70" s="102"/>
      <c r="O70" s="217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23"/>
      <c r="BW70" s="129"/>
      <c r="BX70" s="130"/>
      <c r="BY70" s="113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5"/>
      <c r="CK70" s="6" t="b">
        <f t="shared" si="11"/>
        <v>0</v>
      </c>
      <c r="CL70" s="24" t="str">
        <f t="shared" ca="1" si="12"/>
        <v/>
      </c>
      <c r="CM70" s="35">
        <f>IF(COUNTIF($B$13:B70,B70)=1,1,0)</f>
        <v>0</v>
      </c>
      <c r="CN70" s="35">
        <f>SUM($CM$13:CM70)</f>
        <v>0</v>
      </c>
      <c r="CO70" s="24"/>
      <c r="CP70" s="24"/>
      <c r="CT70" s="166"/>
      <c r="CU70" s="166"/>
      <c r="CV70" s="166"/>
      <c r="CW70" s="166"/>
      <c r="CX70" s="166"/>
      <c r="CY70" s="166"/>
      <c r="CZ70" s="166"/>
    </row>
    <row r="71" spans="1:104" x14ac:dyDescent="0.15">
      <c r="A71" s="86" t="str">
        <f t="shared" si="9"/>
        <v/>
      </c>
      <c r="B71" s="232"/>
      <c r="C71" s="233"/>
      <c r="D71" s="232"/>
      <c r="E71" s="233"/>
      <c r="F71" s="257"/>
      <c r="G71" s="258"/>
      <c r="H71" s="259"/>
      <c r="I71" s="102"/>
      <c r="J71" s="127"/>
      <c r="K71" s="102"/>
      <c r="L71" s="131"/>
      <c r="M71" s="128"/>
      <c r="N71" s="102"/>
      <c r="O71" s="217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23"/>
      <c r="BW71" s="129"/>
      <c r="BX71" s="130"/>
      <c r="BY71" s="113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5"/>
      <c r="CK71" s="6" t="b">
        <f t="shared" si="11"/>
        <v>0</v>
      </c>
      <c r="CL71" s="24" t="str">
        <f t="shared" ca="1" si="12"/>
        <v/>
      </c>
      <c r="CM71" s="35">
        <f>IF(COUNTIF($B$13:B71,B71)=1,1,0)</f>
        <v>0</v>
      </c>
      <c r="CN71" s="35">
        <f>SUM($CM$13:CM71)</f>
        <v>0</v>
      </c>
      <c r="CO71" s="24"/>
      <c r="CP71" s="24"/>
      <c r="CT71" s="166"/>
      <c r="CU71" s="166"/>
      <c r="CV71" s="166"/>
      <c r="CW71" s="166"/>
      <c r="CX71" s="166"/>
      <c r="CY71" s="166"/>
      <c r="CZ71" s="166"/>
    </row>
    <row r="72" spans="1:104" x14ac:dyDescent="0.15">
      <c r="A72" s="86" t="str">
        <f t="shared" si="9"/>
        <v/>
      </c>
      <c r="B72" s="232"/>
      <c r="C72" s="233"/>
      <c r="D72" s="232"/>
      <c r="E72" s="233"/>
      <c r="F72" s="257"/>
      <c r="G72" s="258"/>
      <c r="H72" s="259"/>
      <c r="I72" s="102"/>
      <c r="J72" s="127"/>
      <c r="K72" s="102"/>
      <c r="L72" s="131"/>
      <c r="M72" s="128"/>
      <c r="N72" s="102"/>
      <c r="O72" s="217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23"/>
      <c r="BW72" s="129"/>
      <c r="BX72" s="130"/>
      <c r="BY72" s="113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5"/>
      <c r="CK72" s="6" t="b">
        <f t="shared" si="11"/>
        <v>0</v>
      </c>
      <c r="CL72" s="24" t="str">
        <f t="shared" ca="1" si="12"/>
        <v/>
      </c>
      <c r="CM72" s="35">
        <f>IF(COUNTIF($B$13:B72,B72)=1,1,0)</f>
        <v>0</v>
      </c>
      <c r="CN72" s="35">
        <f>SUM($CM$13:CM72)</f>
        <v>0</v>
      </c>
      <c r="CO72" s="24"/>
      <c r="CP72" s="24"/>
      <c r="CT72" s="166"/>
      <c r="CU72" s="166"/>
      <c r="CV72" s="166"/>
      <c r="CW72" s="166"/>
      <c r="CX72" s="166"/>
      <c r="CY72" s="166"/>
      <c r="CZ72" s="166"/>
    </row>
    <row r="73" spans="1:104" x14ac:dyDescent="0.15">
      <c r="A73" s="86" t="str">
        <f t="shared" si="9"/>
        <v/>
      </c>
      <c r="B73" s="232"/>
      <c r="C73" s="233"/>
      <c r="D73" s="232"/>
      <c r="E73" s="233"/>
      <c r="F73" s="257"/>
      <c r="G73" s="258"/>
      <c r="H73" s="259"/>
      <c r="I73" s="102"/>
      <c r="J73" s="127"/>
      <c r="K73" s="102"/>
      <c r="L73" s="131"/>
      <c r="M73" s="128"/>
      <c r="N73" s="102"/>
      <c r="O73" s="217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23"/>
      <c r="BW73" s="129"/>
      <c r="BX73" s="130"/>
      <c r="BY73" s="113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5"/>
      <c r="CK73" s="6" t="b">
        <f t="shared" si="11"/>
        <v>0</v>
      </c>
      <c r="CL73" s="24" t="str">
        <f t="shared" ca="1" si="12"/>
        <v/>
      </c>
      <c r="CM73" s="35">
        <f>IF(COUNTIF($B$13:B73,B73)=1,1,0)</f>
        <v>0</v>
      </c>
      <c r="CN73" s="35">
        <f>SUM($CM$13:CM73)</f>
        <v>0</v>
      </c>
      <c r="CO73" s="24"/>
      <c r="CP73" s="24"/>
      <c r="CT73" s="166"/>
      <c r="CU73" s="166"/>
      <c r="CV73" s="166"/>
      <c r="CW73" s="166"/>
      <c r="CX73" s="166"/>
      <c r="CY73" s="166"/>
      <c r="CZ73" s="166"/>
    </row>
    <row r="74" spans="1:104" x14ac:dyDescent="0.15">
      <c r="A74" s="86" t="str">
        <f t="shared" si="9"/>
        <v/>
      </c>
      <c r="B74" s="232"/>
      <c r="C74" s="233"/>
      <c r="D74" s="232"/>
      <c r="E74" s="233"/>
      <c r="F74" s="257"/>
      <c r="G74" s="258"/>
      <c r="H74" s="259"/>
      <c r="I74" s="102"/>
      <c r="J74" s="127"/>
      <c r="K74" s="102"/>
      <c r="L74" s="131"/>
      <c r="M74" s="128"/>
      <c r="N74" s="102"/>
      <c r="O74" s="217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23"/>
      <c r="BW74" s="129"/>
      <c r="BX74" s="130"/>
      <c r="BY74" s="113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5"/>
      <c r="CK74" s="6" t="b">
        <f t="shared" si="11"/>
        <v>0</v>
      </c>
      <c r="CL74" s="24" t="str">
        <f t="shared" ca="1" si="12"/>
        <v/>
      </c>
      <c r="CM74" s="35">
        <f>IF(COUNTIF($B$13:B74,B74)=1,1,0)</f>
        <v>0</v>
      </c>
      <c r="CN74" s="35">
        <f>SUM($CM$13:CM74)</f>
        <v>0</v>
      </c>
      <c r="CO74" s="24"/>
      <c r="CP74" s="24"/>
      <c r="CT74" s="166"/>
      <c r="CU74" s="166"/>
      <c r="CV74" s="166"/>
      <c r="CW74" s="166"/>
      <c r="CX74" s="166"/>
      <c r="CY74" s="166"/>
      <c r="CZ74" s="166"/>
    </row>
    <row r="75" spans="1:104" x14ac:dyDescent="0.15">
      <c r="A75" s="86" t="str">
        <f t="shared" si="9"/>
        <v/>
      </c>
      <c r="B75" s="232"/>
      <c r="C75" s="233"/>
      <c r="D75" s="232"/>
      <c r="E75" s="233"/>
      <c r="F75" s="257"/>
      <c r="G75" s="258"/>
      <c r="H75" s="259"/>
      <c r="I75" s="102"/>
      <c r="J75" s="127"/>
      <c r="K75" s="102"/>
      <c r="L75" s="131"/>
      <c r="M75" s="128"/>
      <c r="N75" s="102"/>
      <c r="O75" s="217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23"/>
      <c r="BW75" s="129"/>
      <c r="BX75" s="130"/>
      <c r="BY75" s="113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5"/>
      <c r="CK75" s="6" t="b">
        <f t="shared" si="11"/>
        <v>0</v>
      </c>
      <c r="CL75" s="24" t="str">
        <f t="shared" ca="1" si="12"/>
        <v/>
      </c>
      <c r="CM75" s="35">
        <f>IF(COUNTIF($B$13:B75,B75)=1,1,0)</f>
        <v>0</v>
      </c>
      <c r="CN75" s="35">
        <f>SUM($CM$13:CM75)</f>
        <v>0</v>
      </c>
      <c r="CO75" s="24"/>
      <c r="CP75" s="24"/>
      <c r="CT75" s="166"/>
      <c r="CU75" s="166"/>
      <c r="CV75" s="166"/>
      <c r="CW75" s="166"/>
      <c r="CX75" s="166"/>
      <c r="CY75" s="166"/>
      <c r="CZ75" s="166"/>
    </row>
    <row r="76" spans="1:104" x14ac:dyDescent="0.15">
      <c r="A76" s="86" t="str">
        <f t="shared" si="9"/>
        <v/>
      </c>
      <c r="B76" s="232"/>
      <c r="C76" s="233"/>
      <c r="D76" s="232"/>
      <c r="E76" s="233"/>
      <c r="F76" s="257"/>
      <c r="G76" s="258"/>
      <c r="H76" s="259"/>
      <c r="I76" s="102"/>
      <c r="J76" s="127"/>
      <c r="K76" s="102"/>
      <c r="L76" s="131"/>
      <c r="M76" s="128"/>
      <c r="N76" s="102"/>
      <c r="O76" s="217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23"/>
      <c r="BW76" s="129"/>
      <c r="BX76" s="130"/>
      <c r="BY76" s="113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5"/>
      <c r="CK76" s="6" t="b">
        <f t="shared" si="11"/>
        <v>0</v>
      </c>
      <c r="CL76" s="24" t="str">
        <f t="shared" ca="1" si="12"/>
        <v/>
      </c>
      <c r="CM76" s="35">
        <f>IF(COUNTIF($B$13:B76,B76)=1,1,0)</f>
        <v>0</v>
      </c>
      <c r="CN76" s="35">
        <f>SUM($CM$13:CM76)</f>
        <v>0</v>
      </c>
      <c r="CO76" s="24"/>
      <c r="CP76" s="24"/>
      <c r="CT76" s="166"/>
      <c r="CU76" s="166"/>
      <c r="CV76" s="166"/>
      <c r="CW76" s="166"/>
      <c r="CX76" s="166"/>
      <c r="CY76" s="166"/>
      <c r="CZ76" s="166"/>
    </row>
    <row r="77" spans="1:104" x14ac:dyDescent="0.15">
      <c r="A77" s="86" t="str">
        <f t="shared" si="9"/>
        <v/>
      </c>
      <c r="B77" s="232"/>
      <c r="C77" s="233"/>
      <c r="D77" s="232"/>
      <c r="E77" s="233"/>
      <c r="F77" s="257"/>
      <c r="G77" s="258"/>
      <c r="H77" s="259"/>
      <c r="I77" s="102"/>
      <c r="J77" s="127"/>
      <c r="K77" s="102"/>
      <c r="L77" s="131"/>
      <c r="M77" s="128"/>
      <c r="N77" s="102"/>
      <c r="O77" s="217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23"/>
      <c r="BW77" s="129"/>
      <c r="BX77" s="130"/>
      <c r="BY77" s="113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5"/>
      <c r="CK77" s="6" t="b">
        <f t="shared" si="11"/>
        <v>0</v>
      </c>
      <c r="CL77" s="24" t="str">
        <f t="shared" ref="CL77:CL112" ca="1" si="13">IFERROR(OFFSET($O$9,0,MATCH("○",O77:BV77,0)-1,1,1),"")</f>
        <v/>
      </c>
      <c r="CM77" s="35">
        <f>IF(COUNTIF($B$13:B77,B77)=1,1,0)</f>
        <v>0</v>
      </c>
      <c r="CN77" s="35">
        <f>SUM($CM$13:CM77)</f>
        <v>0</v>
      </c>
      <c r="CO77" s="24"/>
      <c r="CP77" s="24"/>
      <c r="CT77" s="166"/>
      <c r="CU77" s="166"/>
      <c r="CV77" s="166"/>
      <c r="CW77" s="166"/>
      <c r="CX77" s="166"/>
      <c r="CY77" s="166"/>
      <c r="CZ77" s="166"/>
    </row>
    <row r="78" spans="1:104" x14ac:dyDescent="0.15">
      <c r="A78" s="86" t="str">
        <f t="shared" si="9"/>
        <v/>
      </c>
      <c r="B78" s="232"/>
      <c r="C78" s="233"/>
      <c r="D78" s="232"/>
      <c r="E78" s="233"/>
      <c r="F78" s="257"/>
      <c r="G78" s="258"/>
      <c r="H78" s="259"/>
      <c r="I78" s="102"/>
      <c r="J78" s="127"/>
      <c r="K78" s="102"/>
      <c r="L78" s="131"/>
      <c r="M78" s="128"/>
      <c r="N78" s="102"/>
      <c r="O78" s="217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23"/>
      <c r="BW78" s="129"/>
      <c r="BX78" s="130"/>
      <c r="BY78" s="113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5"/>
      <c r="CK78" s="6" t="b">
        <f t="shared" ref="CK78:CK112" si="14">COUNTIF(O78:BV78,"○")&gt;0</f>
        <v>0</v>
      </c>
      <c r="CL78" s="24" t="str">
        <f t="shared" ca="1" si="13"/>
        <v/>
      </c>
      <c r="CM78" s="35">
        <f>IF(COUNTIF($B$13:B78,B78)=1,1,0)</f>
        <v>0</v>
      </c>
      <c r="CN78" s="35">
        <f>SUM($CM$13:CM78)</f>
        <v>0</v>
      </c>
      <c r="CO78" s="24"/>
      <c r="CP78" s="24"/>
      <c r="CT78" s="166"/>
      <c r="CU78" s="166"/>
      <c r="CV78" s="166"/>
      <c r="CW78" s="166"/>
      <c r="CX78" s="166"/>
      <c r="CY78" s="166"/>
      <c r="CZ78" s="166"/>
    </row>
    <row r="79" spans="1:104" x14ac:dyDescent="0.15">
      <c r="A79" s="86" t="str">
        <f t="shared" ref="A79:A112" si="15">IFERROR(IF(B79="","",A78+1),"")</f>
        <v/>
      </c>
      <c r="B79" s="232"/>
      <c r="C79" s="233"/>
      <c r="D79" s="232"/>
      <c r="E79" s="233"/>
      <c r="F79" s="257"/>
      <c r="G79" s="258"/>
      <c r="H79" s="259"/>
      <c r="I79" s="102"/>
      <c r="J79" s="127"/>
      <c r="K79" s="102"/>
      <c r="L79" s="131"/>
      <c r="M79" s="128"/>
      <c r="N79" s="102"/>
      <c r="O79" s="217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23"/>
      <c r="BW79" s="129"/>
      <c r="BX79" s="130"/>
      <c r="BY79" s="113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5"/>
      <c r="CK79" s="6" t="b">
        <f t="shared" si="14"/>
        <v>0</v>
      </c>
      <c r="CL79" s="24" t="str">
        <f t="shared" ca="1" si="13"/>
        <v/>
      </c>
      <c r="CM79" s="35">
        <f>IF(COUNTIF($B$13:B79,B79)=1,1,0)</f>
        <v>0</v>
      </c>
      <c r="CN79" s="35">
        <f>SUM($CM$13:CM79)</f>
        <v>0</v>
      </c>
      <c r="CO79" s="24"/>
      <c r="CP79" s="24"/>
      <c r="CT79" s="166"/>
      <c r="CU79" s="166"/>
      <c r="CV79" s="166"/>
      <c r="CW79" s="166"/>
      <c r="CX79" s="166"/>
      <c r="CY79" s="166"/>
      <c r="CZ79" s="166"/>
    </row>
    <row r="80" spans="1:104" x14ac:dyDescent="0.15">
      <c r="A80" s="86" t="str">
        <f t="shared" si="15"/>
        <v/>
      </c>
      <c r="B80" s="232"/>
      <c r="C80" s="233"/>
      <c r="D80" s="232"/>
      <c r="E80" s="233"/>
      <c r="F80" s="257"/>
      <c r="G80" s="258"/>
      <c r="H80" s="259"/>
      <c r="I80" s="102"/>
      <c r="J80" s="127"/>
      <c r="K80" s="102"/>
      <c r="L80" s="131"/>
      <c r="M80" s="128"/>
      <c r="N80" s="102"/>
      <c r="O80" s="217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23"/>
      <c r="BW80" s="129"/>
      <c r="BX80" s="130"/>
      <c r="BY80" s="113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5"/>
      <c r="CK80" s="6" t="b">
        <f t="shared" si="14"/>
        <v>0</v>
      </c>
      <c r="CL80" s="24" t="str">
        <f t="shared" ca="1" si="13"/>
        <v/>
      </c>
      <c r="CM80" s="35">
        <f>IF(COUNTIF($B$13:B80,B80)=1,1,0)</f>
        <v>0</v>
      </c>
      <c r="CN80" s="35">
        <f>SUM($CM$13:CM80)</f>
        <v>0</v>
      </c>
      <c r="CO80" s="24"/>
      <c r="CP80" s="24"/>
      <c r="CT80" s="166"/>
      <c r="CU80" s="166"/>
      <c r="CV80" s="166"/>
      <c r="CW80" s="166"/>
      <c r="CX80" s="166"/>
      <c r="CY80" s="166"/>
      <c r="CZ80" s="166"/>
    </row>
    <row r="81" spans="1:104" x14ac:dyDescent="0.15">
      <c r="A81" s="86" t="str">
        <f t="shared" si="15"/>
        <v/>
      </c>
      <c r="B81" s="232"/>
      <c r="C81" s="233"/>
      <c r="D81" s="232"/>
      <c r="E81" s="233"/>
      <c r="F81" s="257"/>
      <c r="G81" s="258"/>
      <c r="H81" s="259"/>
      <c r="I81" s="102"/>
      <c r="J81" s="127"/>
      <c r="K81" s="102"/>
      <c r="L81" s="131"/>
      <c r="M81" s="128"/>
      <c r="N81" s="102"/>
      <c r="O81" s="217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23"/>
      <c r="BW81" s="129"/>
      <c r="BX81" s="130"/>
      <c r="BY81" s="113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5"/>
      <c r="CK81" s="6" t="b">
        <f t="shared" si="14"/>
        <v>0</v>
      </c>
      <c r="CL81" s="24" t="str">
        <f t="shared" ca="1" si="13"/>
        <v/>
      </c>
      <c r="CM81" s="35">
        <f>IF(COUNTIF($B$13:B81,B81)=1,1,0)</f>
        <v>0</v>
      </c>
      <c r="CN81" s="35">
        <f>SUM($CM$13:CM81)</f>
        <v>0</v>
      </c>
      <c r="CO81" s="24"/>
      <c r="CP81" s="24"/>
      <c r="CT81" s="166"/>
      <c r="CU81" s="166"/>
      <c r="CV81" s="166"/>
      <c r="CW81" s="166"/>
      <c r="CX81" s="166"/>
      <c r="CY81" s="166"/>
      <c r="CZ81" s="166"/>
    </row>
    <row r="82" spans="1:104" x14ac:dyDescent="0.15">
      <c r="A82" s="86" t="str">
        <f t="shared" si="15"/>
        <v/>
      </c>
      <c r="B82" s="232"/>
      <c r="C82" s="233"/>
      <c r="D82" s="232"/>
      <c r="E82" s="233"/>
      <c r="F82" s="257"/>
      <c r="G82" s="258"/>
      <c r="H82" s="259"/>
      <c r="I82" s="102"/>
      <c r="J82" s="127"/>
      <c r="K82" s="102"/>
      <c r="L82" s="131"/>
      <c r="M82" s="128"/>
      <c r="N82" s="102"/>
      <c r="O82" s="217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23"/>
      <c r="BW82" s="129"/>
      <c r="BX82" s="130"/>
      <c r="BY82" s="113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5"/>
      <c r="CK82" s="6" t="b">
        <f t="shared" si="14"/>
        <v>0</v>
      </c>
      <c r="CL82" s="24" t="str">
        <f t="shared" ca="1" si="13"/>
        <v/>
      </c>
      <c r="CM82" s="35">
        <f>IF(COUNTIF($B$13:B82,B82)=1,1,0)</f>
        <v>0</v>
      </c>
      <c r="CN82" s="35">
        <f>SUM($CM$13:CM82)</f>
        <v>0</v>
      </c>
      <c r="CO82" s="24"/>
      <c r="CP82" s="24"/>
      <c r="CT82" s="166"/>
      <c r="CU82" s="166"/>
      <c r="CV82" s="166"/>
      <c r="CW82" s="166"/>
      <c r="CX82" s="166"/>
      <c r="CY82" s="166"/>
      <c r="CZ82" s="166"/>
    </row>
    <row r="83" spans="1:104" x14ac:dyDescent="0.15">
      <c r="A83" s="86" t="str">
        <f t="shared" si="15"/>
        <v/>
      </c>
      <c r="B83" s="232"/>
      <c r="C83" s="233"/>
      <c r="D83" s="232"/>
      <c r="E83" s="233"/>
      <c r="F83" s="257"/>
      <c r="G83" s="258"/>
      <c r="H83" s="259"/>
      <c r="I83" s="102"/>
      <c r="J83" s="127"/>
      <c r="K83" s="102"/>
      <c r="L83" s="131"/>
      <c r="M83" s="128"/>
      <c r="N83" s="102"/>
      <c r="O83" s="217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23"/>
      <c r="BW83" s="129"/>
      <c r="BX83" s="130"/>
      <c r="BY83" s="113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5"/>
      <c r="CK83" s="6" t="b">
        <f t="shared" si="14"/>
        <v>0</v>
      </c>
      <c r="CL83" s="24" t="str">
        <f t="shared" ca="1" si="13"/>
        <v/>
      </c>
      <c r="CM83" s="35">
        <f>IF(COUNTIF($B$13:B83,B83)=1,1,0)</f>
        <v>0</v>
      </c>
      <c r="CN83" s="35">
        <f>SUM($CM$13:CM83)</f>
        <v>0</v>
      </c>
      <c r="CO83" s="24"/>
      <c r="CP83" s="24"/>
      <c r="CT83" s="166"/>
      <c r="CU83" s="166"/>
      <c r="CV83" s="166"/>
      <c r="CW83" s="166"/>
      <c r="CX83" s="166"/>
      <c r="CY83" s="166"/>
      <c r="CZ83" s="166"/>
    </row>
    <row r="84" spans="1:104" x14ac:dyDescent="0.15">
      <c r="A84" s="86" t="str">
        <f t="shared" si="15"/>
        <v/>
      </c>
      <c r="B84" s="232"/>
      <c r="C84" s="233"/>
      <c r="D84" s="232"/>
      <c r="E84" s="233"/>
      <c r="F84" s="257"/>
      <c r="G84" s="258"/>
      <c r="H84" s="259"/>
      <c r="I84" s="102"/>
      <c r="J84" s="127"/>
      <c r="K84" s="102"/>
      <c r="L84" s="131"/>
      <c r="M84" s="128"/>
      <c r="N84" s="102"/>
      <c r="O84" s="217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23"/>
      <c r="BW84" s="129"/>
      <c r="BX84" s="130"/>
      <c r="BY84" s="113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5"/>
      <c r="CK84" s="6" t="b">
        <f t="shared" si="14"/>
        <v>0</v>
      </c>
      <c r="CL84" s="24" t="str">
        <f t="shared" ca="1" si="13"/>
        <v/>
      </c>
      <c r="CM84" s="35">
        <f>IF(COUNTIF($B$13:B84,B84)=1,1,0)</f>
        <v>0</v>
      </c>
      <c r="CN84" s="35">
        <f>SUM($CM$13:CM84)</f>
        <v>0</v>
      </c>
      <c r="CO84" s="24"/>
      <c r="CP84" s="24"/>
      <c r="CT84" s="166"/>
      <c r="CU84" s="166"/>
      <c r="CV84" s="166"/>
      <c r="CW84" s="166"/>
      <c r="CX84" s="166"/>
      <c r="CY84" s="166"/>
      <c r="CZ84" s="166"/>
    </row>
    <row r="85" spans="1:104" x14ac:dyDescent="0.15">
      <c r="A85" s="86" t="str">
        <f t="shared" si="15"/>
        <v/>
      </c>
      <c r="B85" s="232"/>
      <c r="C85" s="233"/>
      <c r="D85" s="232"/>
      <c r="E85" s="233"/>
      <c r="F85" s="257"/>
      <c r="G85" s="258"/>
      <c r="H85" s="259"/>
      <c r="I85" s="102"/>
      <c r="J85" s="127"/>
      <c r="K85" s="102"/>
      <c r="L85" s="131"/>
      <c r="M85" s="128"/>
      <c r="N85" s="102"/>
      <c r="O85" s="217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23"/>
      <c r="BW85" s="129"/>
      <c r="BX85" s="130"/>
      <c r="BY85" s="113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5"/>
      <c r="CK85" s="6" t="b">
        <f t="shared" si="14"/>
        <v>0</v>
      </c>
      <c r="CL85" s="24" t="str">
        <f t="shared" ca="1" si="13"/>
        <v/>
      </c>
      <c r="CM85" s="35">
        <f>IF(COUNTIF($B$13:B85,B85)=1,1,0)</f>
        <v>0</v>
      </c>
      <c r="CN85" s="35">
        <f>SUM($CM$13:CM85)</f>
        <v>0</v>
      </c>
      <c r="CO85" s="24"/>
      <c r="CP85" s="24"/>
      <c r="CT85" s="166"/>
      <c r="CU85" s="166"/>
      <c r="CV85" s="166"/>
      <c r="CW85" s="166"/>
      <c r="CX85" s="166"/>
      <c r="CY85" s="166"/>
      <c r="CZ85" s="166"/>
    </row>
    <row r="86" spans="1:104" x14ac:dyDescent="0.15">
      <c r="A86" s="86" t="str">
        <f t="shared" si="15"/>
        <v/>
      </c>
      <c r="B86" s="232"/>
      <c r="C86" s="233"/>
      <c r="D86" s="232"/>
      <c r="E86" s="233"/>
      <c r="F86" s="257"/>
      <c r="G86" s="258"/>
      <c r="H86" s="259"/>
      <c r="I86" s="102"/>
      <c r="J86" s="127"/>
      <c r="K86" s="102"/>
      <c r="L86" s="131"/>
      <c r="M86" s="128"/>
      <c r="N86" s="102"/>
      <c r="O86" s="217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23"/>
      <c r="BW86" s="129"/>
      <c r="BX86" s="130"/>
      <c r="BY86" s="113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5"/>
      <c r="CK86" s="6" t="b">
        <f t="shared" si="14"/>
        <v>0</v>
      </c>
      <c r="CL86" s="24" t="str">
        <f t="shared" ca="1" si="13"/>
        <v/>
      </c>
      <c r="CM86" s="35">
        <f>IF(COUNTIF($B$13:B86,B86)=1,1,0)</f>
        <v>0</v>
      </c>
      <c r="CN86" s="35">
        <f>SUM($CM$13:CM86)</f>
        <v>0</v>
      </c>
      <c r="CO86" s="24"/>
      <c r="CP86" s="24"/>
      <c r="CT86" s="166"/>
      <c r="CU86" s="166"/>
      <c r="CV86" s="166"/>
      <c r="CW86" s="166"/>
      <c r="CX86" s="166"/>
      <c r="CY86" s="166"/>
      <c r="CZ86" s="166"/>
    </row>
    <row r="87" spans="1:104" x14ac:dyDescent="0.15">
      <c r="A87" s="86" t="str">
        <f t="shared" si="15"/>
        <v/>
      </c>
      <c r="B87" s="232"/>
      <c r="C87" s="233"/>
      <c r="D87" s="232"/>
      <c r="E87" s="233"/>
      <c r="F87" s="257"/>
      <c r="G87" s="258"/>
      <c r="H87" s="259"/>
      <c r="I87" s="102"/>
      <c r="J87" s="127"/>
      <c r="K87" s="102"/>
      <c r="L87" s="131"/>
      <c r="M87" s="128"/>
      <c r="N87" s="102"/>
      <c r="O87" s="217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23"/>
      <c r="BW87" s="129"/>
      <c r="BX87" s="130"/>
      <c r="BY87" s="113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5"/>
      <c r="CK87" s="6" t="b">
        <f t="shared" si="14"/>
        <v>0</v>
      </c>
      <c r="CL87" s="24" t="str">
        <f t="shared" ca="1" si="13"/>
        <v/>
      </c>
      <c r="CM87" s="35">
        <f>IF(COUNTIF($B$13:B87,B87)=1,1,0)</f>
        <v>0</v>
      </c>
      <c r="CN87" s="35">
        <f>SUM($CM$13:CM87)</f>
        <v>0</v>
      </c>
      <c r="CO87" s="24"/>
      <c r="CP87" s="24"/>
      <c r="CT87" s="166"/>
      <c r="CU87" s="166"/>
      <c r="CV87" s="166"/>
      <c r="CW87" s="166"/>
      <c r="CX87" s="166"/>
      <c r="CY87" s="166"/>
      <c r="CZ87" s="166"/>
    </row>
    <row r="88" spans="1:104" x14ac:dyDescent="0.15">
      <c r="A88" s="86" t="str">
        <f t="shared" si="15"/>
        <v/>
      </c>
      <c r="B88" s="232"/>
      <c r="C88" s="233"/>
      <c r="D88" s="232"/>
      <c r="E88" s="233"/>
      <c r="F88" s="257"/>
      <c r="G88" s="258"/>
      <c r="H88" s="259"/>
      <c r="I88" s="102"/>
      <c r="J88" s="127"/>
      <c r="K88" s="102"/>
      <c r="L88" s="131"/>
      <c r="M88" s="128"/>
      <c r="N88" s="102"/>
      <c r="O88" s="217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23"/>
      <c r="BW88" s="129"/>
      <c r="BX88" s="130"/>
      <c r="BY88" s="113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5"/>
      <c r="CK88" s="6" t="b">
        <f t="shared" si="14"/>
        <v>0</v>
      </c>
      <c r="CL88" s="24" t="str">
        <f t="shared" ca="1" si="13"/>
        <v/>
      </c>
      <c r="CM88" s="35">
        <f>IF(COUNTIF($B$13:B88,B88)=1,1,0)</f>
        <v>0</v>
      </c>
      <c r="CN88" s="35">
        <f>SUM($CM$13:CM88)</f>
        <v>0</v>
      </c>
      <c r="CO88" s="24"/>
      <c r="CP88" s="24"/>
      <c r="CT88" s="166"/>
      <c r="CU88" s="166"/>
      <c r="CV88" s="166"/>
      <c r="CW88" s="166"/>
      <c r="CX88" s="166"/>
      <c r="CY88" s="166"/>
      <c r="CZ88" s="166"/>
    </row>
    <row r="89" spans="1:104" x14ac:dyDescent="0.15">
      <c r="A89" s="86" t="str">
        <f t="shared" si="15"/>
        <v/>
      </c>
      <c r="B89" s="232"/>
      <c r="C89" s="233"/>
      <c r="D89" s="232"/>
      <c r="E89" s="233"/>
      <c r="F89" s="257"/>
      <c r="G89" s="258"/>
      <c r="H89" s="259"/>
      <c r="I89" s="102"/>
      <c r="J89" s="127"/>
      <c r="K89" s="102"/>
      <c r="L89" s="131"/>
      <c r="M89" s="128"/>
      <c r="N89" s="102"/>
      <c r="O89" s="217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23"/>
      <c r="BW89" s="129"/>
      <c r="BX89" s="130"/>
      <c r="BY89" s="113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5"/>
      <c r="CK89" s="6" t="b">
        <f t="shared" si="14"/>
        <v>0</v>
      </c>
      <c r="CL89" s="24" t="str">
        <f t="shared" ca="1" si="13"/>
        <v/>
      </c>
      <c r="CM89" s="35">
        <f>IF(COUNTIF($B$13:B89,B89)=1,1,0)</f>
        <v>0</v>
      </c>
      <c r="CN89" s="35">
        <f>SUM($CM$13:CM89)</f>
        <v>0</v>
      </c>
      <c r="CO89" s="24"/>
      <c r="CP89" s="24"/>
      <c r="CT89" s="166"/>
      <c r="CU89" s="166"/>
      <c r="CV89" s="166"/>
      <c r="CW89" s="166"/>
      <c r="CX89" s="166"/>
      <c r="CY89" s="166"/>
      <c r="CZ89" s="166"/>
    </row>
    <row r="90" spans="1:104" x14ac:dyDescent="0.15">
      <c r="A90" s="86" t="str">
        <f t="shared" si="15"/>
        <v/>
      </c>
      <c r="B90" s="232"/>
      <c r="C90" s="233"/>
      <c r="D90" s="232"/>
      <c r="E90" s="233"/>
      <c r="F90" s="257"/>
      <c r="G90" s="258"/>
      <c r="H90" s="259"/>
      <c r="I90" s="102"/>
      <c r="J90" s="127"/>
      <c r="K90" s="102"/>
      <c r="L90" s="131"/>
      <c r="M90" s="128"/>
      <c r="N90" s="102"/>
      <c r="O90" s="217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23"/>
      <c r="BW90" s="129"/>
      <c r="BX90" s="130"/>
      <c r="BY90" s="113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5"/>
      <c r="CK90" s="6" t="b">
        <f t="shared" si="14"/>
        <v>0</v>
      </c>
      <c r="CL90" s="24" t="str">
        <f t="shared" ca="1" si="13"/>
        <v/>
      </c>
      <c r="CM90" s="35">
        <f>IF(COUNTIF($B$13:B90,B90)=1,1,0)</f>
        <v>0</v>
      </c>
      <c r="CN90" s="35">
        <f>SUM($CM$13:CM90)</f>
        <v>0</v>
      </c>
      <c r="CO90" s="24"/>
      <c r="CP90" s="24"/>
      <c r="CT90" s="166"/>
      <c r="CU90" s="166"/>
      <c r="CV90" s="166"/>
      <c r="CW90" s="166"/>
      <c r="CX90" s="166"/>
      <c r="CY90" s="166"/>
      <c r="CZ90" s="166"/>
    </row>
    <row r="91" spans="1:104" x14ac:dyDescent="0.15">
      <c r="A91" s="86" t="str">
        <f t="shared" si="15"/>
        <v/>
      </c>
      <c r="B91" s="232"/>
      <c r="C91" s="233"/>
      <c r="D91" s="232"/>
      <c r="E91" s="233"/>
      <c r="F91" s="257"/>
      <c r="G91" s="258"/>
      <c r="H91" s="259"/>
      <c r="I91" s="102"/>
      <c r="J91" s="127"/>
      <c r="K91" s="102"/>
      <c r="L91" s="131"/>
      <c r="M91" s="128"/>
      <c r="N91" s="102"/>
      <c r="O91" s="217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23"/>
      <c r="BW91" s="129"/>
      <c r="BX91" s="130"/>
      <c r="BY91" s="113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5"/>
      <c r="CK91" s="6" t="b">
        <f t="shared" si="14"/>
        <v>0</v>
      </c>
      <c r="CL91" s="24" t="str">
        <f t="shared" ca="1" si="13"/>
        <v/>
      </c>
      <c r="CM91" s="35">
        <f>IF(COUNTIF($B$13:B91,B91)=1,1,0)</f>
        <v>0</v>
      </c>
      <c r="CN91" s="35">
        <f>SUM($CM$13:CM91)</f>
        <v>0</v>
      </c>
      <c r="CO91" s="24"/>
      <c r="CP91" s="24"/>
      <c r="CT91" s="166"/>
      <c r="CU91" s="166"/>
      <c r="CV91" s="166"/>
      <c r="CW91" s="166"/>
      <c r="CX91" s="166"/>
      <c r="CY91" s="166"/>
      <c r="CZ91" s="166"/>
    </row>
    <row r="92" spans="1:104" x14ac:dyDescent="0.15">
      <c r="A92" s="86" t="str">
        <f t="shared" si="15"/>
        <v/>
      </c>
      <c r="B92" s="232"/>
      <c r="C92" s="233"/>
      <c r="D92" s="232"/>
      <c r="E92" s="233"/>
      <c r="F92" s="257"/>
      <c r="G92" s="258"/>
      <c r="H92" s="259"/>
      <c r="I92" s="102"/>
      <c r="J92" s="127"/>
      <c r="K92" s="102"/>
      <c r="L92" s="131"/>
      <c r="M92" s="128"/>
      <c r="N92" s="102"/>
      <c r="O92" s="217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23"/>
      <c r="BW92" s="129"/>
      <c r="BX92" s="130"/>
      <c r="BY92" s="113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5"/>
      <c r="CK92" s="6" t="b">
        <f t="shared" si="14"/>
        <v>0</v>
      </c>
      <c r="CL92" s="24" t="str">
        <f t="shared" ca="1" si="13"/>
        <v/>
      </c>
      <c r="CM92" s="35">
        <f>IF(COUNTIF($B$13:B92,B92)=1,1,0)</f>
        <v>0</v>
      </c>
      <c r="CN92" s="35">
        <f>SUM($CM$13:CM92)</f>
        <v>0</v>
      </c>
      <c r="CO92" s="24"/>
      <c r="CP92" s="24"/>
      <c r="CT92" s="166"/>
      <c r="CU92" s="166"/>
      <c r="CV92" s="166"/>
      <c r="CW92" s="166"/>
      <c r="CX92" s="166"/>
      <c r="CY92" s="166"/>
      <c r="CZ92" s="166"/>
    </row>
    <row r="93" spans="1:104" x14ac:dyDescent="0.15">
      <c r="A93" s="86" t="str">
        <f t="shared" si="15"/>
        <v/>
      </c>
      <c r="B93" s="232"/>
      <c r="C93" s="233"/>
      <c r="D93" s="232"/>
      <c r="E93" s="233"/>
      <c r="F93" s="257"/>
      <c r="G93" s="258"/>
      <c r="H93" s="259"/>
      <c r="I93" s="102"/>
      <c r="J93" s="127"/>
      <c r="K93" s="102"/>
      <c r="L93" s="131"/>
      <c r="M93" s="128"/>
      <c r="N93" s="102"/>
      <c r="O93" s="217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23"/>
      <c r="BW93" s="129"/>
      <c r="BX93" s="130"/>
      <c r="BY93" s="113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5"/>
      <c r="CK93" s="6" t="b">
        <f t="shared" si="14"/>
        <v>0</v>
      </c>
      <c r="CL93" s="24" t="str">
        <f t="shared" ca="1" si="13"/>
        <v/>
      </c>
      <c r="CM93" s="35">
        <f>IF(COUNTIF($B$13:B93,B93)=1,1,0)</f>
        <v>0</v>
      </c>
      <c r="CN93" s="35">
        <f>SUM($CM$13:CM93)</f>
        <v>0</v>
      </c>
      <c r="CO93" s="24"/>
      <c r="CP93" s="24"/>
      <c r="CT93" s="166"/>
      <c r="CU93" s="166"/>
      <c r="CV93" s="166"/>
      <c r="CW93" s="166"/>
      <c r="CX93" s="166"/>
      <c r="CY93" s="166"/>
      <c r="CZ93" s="166"/>
    </row>
    <row r="94" spans="1:104" x14ac:dyDescent="0.15">
      <c r="A94" s="86" t="str">
        <f t="shared" si="15"/>
        <v/>
      </c>
      <c r="B94" s="232"/>
      <c r="C94" s="233"/>
      <c r="D94" s="232"/>
      <c r="E94" s="233"/>
      <c r="F94" s="257"/>
      <c r="G94" s="258"/>
      <c r="H94" s="259"/>
      <c r="I94" s="102"/>
      <c r="J94" s="127"/>
      <c r="K94" s="102"/>
      <c r="L94" s="131"/>
      <c r="M94" s="128"/>
      <c r="N94" s="102"/>
      <c r="O94" s="217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23"/>
      <c r="BW94" s="129"/>
      <c r="BX94" s="130"/>
      <c r="BY94" s="113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5"/>
      <c r="CK94" s="6" t="b">
        <f t="shared" si="14"/>
        <v>0</v>
      </c>
      <c r="CL94" s="24" t="str">
        <f t="shared" ca="1" si="13"/>
        <v/>
      </c>
      <c r="CM94" s="35">
        <f>IF(COUNTIF($B$13:B94,B94)=1,1,0)</f>
        <v>0</v>
      </c>
      <c r="CN94" s="35">
        <f>SUM($CM$13:CM94)</f>
        <v>0</v>
      </c>
      <c r="CO94" s="24"/>
      <c r="CP94" s="24"/>
      <c r="CT94" s="166"/>
      <c r="CU94" s="166"/>
      <c r="CV94" s="166"/>
      <c r="CW94" s="166"/>
      <c r="CX94" s="166"/>
      <c r="CY94" s="166"/>
      <c r="CZ94" s="166"/>
    </row>
    <row r="95" spans="1:104" x14ac:dyDescent="0.15">
      <c r="A95" s="86" t="str">
        <f t="shared" si="15"/>
        <v/>
      </c>
      <c r="B95" s="232"/>
      <c r="C95" s="233"/>
      <c r="D95" s="232"/>
      <c r="E95" s="233"/>
      <c r="F95" s="257"/>
      <c r="G95" s="258"/>
      <c r="H95" s="259"/>
      <c r="I95" s="102"/>
      <c r="J95" s="127"/>
      <c r="K95" s="102"/>
      <c r="L95" s="131"/>
      <c r="M95" s="128"/>
      <c r="N95" s="102"/>
      <c r="O95" s="217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23"/>
      <c r="BW95" s="129"/>
      <c r="BX95" s="130"/>
      <c r="BY95" s="113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5"/>
      <c r="CK95" s="6" t="b">
        <f t="shared" si="14"/>
        <v>0</v>
      </c>
      <c r="CL95" s="24" t="str">
        <f t="shared" ca="1" si="13"/>
        <v/>
      </c>
      <c r="CM95" s="35">
        <f>IF(COUNTIF($B$13:B95,B95)=1,1,0)</f>
        <v>0</v>
      </c>
      <c r="CN95" s="35">
        <f>SUM($CM$13:CM95)</f>
        <v>0</v>
      </c>
      <c r="CO95" s="24"/>
      <c r="CP95" s="24"/>
      <c r="CT95" s="166"/>
      <c r="CU95" s="166"/>
      <c r="CV95" s="166"/>
      <c r="CW95" s="166"/>
      <c r="CX95" s="166"/>
      <c r="CY95" s="166"/>
      <c r="CZ95" s="166"/>
    </row>
    <row r="96" spans="1:104" x14ac:dyDescent="0.15">
      <c r="A96" s="86" t="str">
        <f t="shared" si="15"/>
        <v/>
      </c>
      <c r="B96" s="232"/>
      <c r="C96" s="233"/>
      <c r="D96" s="232"/>
      <c r="E96" s="233"/>
      <c r="F96" s="257"/>
      <c r="G96" s="258"/>
      <c r="H96" s="259"/>
      <c r="I96" s="102"/>
      <c r="J96" s="127"/>
      <c r="K96" s="102"/>
      <c r="L96" s="131"/>
      <c r="M96" s="128"/>
      <c r="N96" s="102"/>
      <c r="O96" s="217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23"/>
      <c r="BW96" s="129"/>
      <c r="BX96" s="130"/>
      <c r="BY96" s="113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5"/>
      <c r="CK96" s="6" t="b">
        <f t="shared" si="14"/>
        <v>0</v>
      </c>
      <c r="CL96" s="24" t="str">
        <f t="shared" ca="1" si="13"/>
        <v/>
      </c>
      <c r="CM96" s="35">
        <f>IF(COUNTIF($B$13:B96,B96)=1,1,0)</f>
        <v>0</v>
      </c>
      <c r="CN96" s="35">
        <f>SUM($CM$13:CM96)</f>
        <v>0</v>
      </c>
      <c r="CO96" s="24"/>
      <c r="CP96" s="24"/>
      <c r="CT96" s="166"/>
      <c r="CU96" s="166"/>
      <c r="CV96" s="166"/>
      <c r="CW96" s="166"/>
      <c r="CX96" s="166"/>
      <c r="CY96" s="166"/>
      <c r="CZ96" s="166"/>
    </row>
    <row r="97" spans="1:104" x14ac:dyDescent="0.15">
      <c r="A97" s="86" t="str">
        <f t="shared" si="15"/>
        <v/>
      </c>
      <c r="B97" s="232"/>
      <c r="C97" s="233"/>
      <c r="D97" s="232"/>
      <c r="E97" s="233"/>
      <c r="F97" s="257"/>
      <c r="G97" s="258"/>
      <c r="H97" s="259"/>
      <c r="I97" s="102"/>
      <c r="J97" s="127"/>
      <c r="K97" s="102"/>
      <c r="L97" s="131"/>
      <c r="M97" s="128"/>
      <c r="N97" s="102"/>
      <c r="O97" s="217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23"/>
      <c r="BW97" s="129"/>
      <c r="BX97" s="130"/>
      <c r="BY97" s="113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5"/>
      <c r="CK97" s="6" t="b">
        <f t="shared" si="14"/>
        <v>0</v>
      </c>
      <c r="CL97" s="24" t="str">
        <f t="shared" ca="1" si="13"/>
        <v/>
      </c>
      <c r="CM97" s="35">
        <f>IF(COUNTIF($B$13:B97,B97)=1,1,0)</f>
        <v>0</v>
      </c>
      <c r="CN97" s="35">
        <f>SUM($CM$13:CM97)</f>
        <v>0</v>
      </c>
      <c r="CO97" s="24"/>
      <c r="CP97" s="24"/>
      <c r="CT97" s="166"/>
      <c r="CU97" s="166"/>
      <c r="CV97" s="166"/>
      <c r="CW97" s="166"/>
      <c r="CX97" s="166"/>
      <c r="CY97" s="166"/>
      <c r="CZ97" s="166"/>
    </row>
    <row r="98" spans="1:104" x14ac:dyDescent="0.15">
      <c r="A98" s="86" t="str">
        <f t="shared" si="15"/>
        <v/>
      </c>
      <c r="B98" s="232"/>
      <c r="C98" s="233"/>
      <c r="D98" s="232"/>
      <c r="E98" s="233"/>
      <c r="F98" s="257"/>
      <c r="G98" s="258"/>
      <c r="H98" s="259"/>
      <c r="I98" s="102"/>
      <c r="J98" s="127"/>
      <c r="K98" s="102"/>
      <c r="L98" s="131"/>
      <c r="M98" s="128"/>
      <c r="N98" s="102"/>
      <c r="O98" s="217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23"/>
      <c r="BW98" s="129"/>
      <c r="BX98" s="130"/>
      <c r="BY98" s="113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5"/>
      <c r="CK98" s="6" t="b">
        <f t="shared" si="14"/>
        <v>0</v>
      </c>
      <c r="CL98" s="24" t="str">
        <f t="shared" ca="1" si="13"/>
        <v/>
      </c>
      <c r="CM98" s="35">
        <f>IF(COUNTIF($B$13:B98,B98)=1,1,0)</f>
        <v>0</v>
      </c>
      <c r="CN98" s="35">
        <f>SUM($CM$13:CM98)</f>
        <v>0</v>
      </c>
      <c r="CO98" s="24"/>
      <c r="CP98" s="24"/>
      <c r="CT98" s="166"/>
      <c r="CU98" s="166"/>
      <c r="CV98" s="166"/>
      <c r="CW98" s="166"/>
      <c r="CX98" s="166"/>
      <c r="CY98" s="166"/>
      <c r="CZ98" s="166"/>
    </row>
    <row r="99" spans="1:104" x14ac:dyDescent="0.15">
      <c r="A99" s="86" t="str">
        <f t="shared" si="15"/>
        <v/>
      </c>
      <c r="B99" s="232"/>
      <c r="C99" s="233"/>
      <c r="D99" s="232"/>
      <c r="E99" s="233"/>
      <c r="F99" s="257"/>
      <c r="G99" s="258"/>
      <c r="H99" s="259"/>
      <c r="I99" s="102"/>
      <c r="J99" s="127"/>
      <c r="K99" s="102"/>
      <c r="L99" s="131"/>
      <c r="M99" s="128"/>
      <c r="N99" s="102"/>
      <c r="O99" s="217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23"/>
      <c r="BW99" s="129"/>
      <c r="BX99" s="130"/>
      <c r="BY99" s="113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5"/>
      <c r="CK99" s="6" t="b">
        <f t="shared" si="14"/>
        <v>0</v>
      </c>
      <c r="CL99" s="24" t="str">
        <f t="shared" ca="1" si="13"/>
        <v/>
      </c>
      <c r="CM99" s="35">
        <f>IF(COUNTIF($B$13:B99,B99)=1,1,0)</f>
        <v>0</v>
      </c>
      <c r="CN99" s="35">
        <f>SUM($CM$13:CM99)</f>
        <v>0</v>
      </c>
      <c r="CO99" s="24"/>
      <c r="CP99" s="24"/>
      <c r="CT99" s="166"/>
      <c r="CU99" s="166"/>
      <c r="CV99" s="166"/>
      <c r="CW99" s="166"/>
      <c r="CX99" s="166"/>
      <c r="CY99" s="166"/>
      <c r="CZ99" s="166"/>
    </row>
    <row r="100" spans="1:104" x14ac:dyDescent="0.15">
      <c r="A100" s="86" t="str">
        <f t="shared" si="15"/>
        <v/>
      </c>
      <c r="B100" s="232"/>
      <c r="C100" s="233"/>
      <c r="D100" s="232"/>
      <c r="E100" s="233"/>
      <c r="F100" s="257"/>
      <c r="G100" s="258"/>
      <c r="H100" s="259"/>
      <c r="I100" s="102"/>
      <c r="J100" s="127"/>
      <c r="K100" s="102"/>
      <c r="L100" s="131"/>
      <c r="M100" s="128"/>
      <c r="N100" s="102"/>
      <c r="O100" s="217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23"/>
      <c r="BW100" s="129"/>
      <c r="BX100" s="130"/>
      <c r="BY100" s="113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5"/>
      <c r="CK100" s="6" t="b">
        <f t="shared" si="14"/>
        <v>0</v>
      </c>
      <c r="CL100" s="24" t="str">
        <f t="shared" ca="1" si="13"/>
        <v/>
      </c>
      <c r="CM100" s="35">
        <f>IF(COUNTIF($B$13:B100,B100)=1,1,0)</f>
        <v>0</v>
      </c>
      <c r="CN100" s="35">
        <f>SUM($CM$13:CM100)</f>
        <v>0</v>
      </c>
      <c r="CO100" s="24"/>
      <c r="CP100" s="24"/>
      <c r="CT100" s="166"/>
      <c r="CU100" s="166"/>
      <c r="CV100" s="166"/>
      <c r="CW100" s="166"/>
      <c r="CX100" s="166"/>
      <c r="CY100" s="166"/>
      <c r="CZ100" s="166"/>
    </row>
    <row r="101" spans="1:104" x14ac:dyDescent="0.15">
      <c r="A101" s="86" t="str">
        <f t="shared" si="15"/>
        <v/>
      </c>
      <c r="B101" s="232"/>
      <c r="C101" s="233"/>
      <c r="D101" s="232"/>
      <c r="E101" s="233"/>
      <c r="F101" s="257"/>
      <c r="G101" s="258"/>
      <c r="H101" s="259"/>
      <c r="I101" s="102"/>
      <c r="J101" s="127"/>
      <c r="K101" s="102"/>
      <c r="L101" s="131"/>
      <c r="M101" s="128"/>
      <c r="N101" s="102"/>
      <c r="O101" s="217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23"/>
      <c r="BW101" s="129"/>
      <c r="BX101" s="130"/>
      <c r="BY101" s="113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5"/>
      <c r="CK101" s="6" t="b">
        <f t="shared" si="14"/>
        <v>0</v>
      </c>
      <c r="CL101" s="24" t="str">
        <f t="shared" ca="1" si="13"/>
        <v/>
      </c>
      <c r="CM101" s="35">
        <f>IF(COUNTIF($B$13:B101,B101)=1,1,0)</f>
        <v>0</v>
      </c>
      <c r="CN101" s="35">
        <f>SUM($CM$13:CM101)</f>
        <v>0</v>
      </c>
      <c r="CO101" s="24"/>
      <c r="CP101" s="24"/>
      <c r="CT101" s="166"/>
      <c r="CU101" s="166"/>
      <c r="CV101" s="166"/>
      <c r="CW101" s="166"/>
      <c r="CX101" s="166"/>
      <c r="CY101" s="166"/>
      <c r="CZ101" s="166"/>
    </row>
    <row r="102" spans="1:104" x14ac:dyDescent="0.15">
      <c r="A102" s="86" t="str">
        <f t="shared" si="15"/>
        <v/>
      </c>
      <c r="B102" s="232"/>
      <c r="C102" s="233"/>
      <c r="D102" s="232"/>
      <c r="E102" s="233"/>
      <c r="F102" s="257"/>
      <c r="G102" s="258"/>
      <c r="H102" s="259"/>
      <c r="I102" s="102"/>
      <c r="J102" s="127"/>
      <c r="K102" s="102"/>
      <c r="L102" s="131"/>
      <c r="M102" s="128"/>
      <c r="N102" s="102"/>
      <c r="O102" s="217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23"/>
      <c r="BW102" s="129"/>
      <c r="BX102" s="130"/>
      <c r="BY102" s="113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5"/>
      <c r="CK102" s="6" t="b">
        <f t="shared" si="14"/>
        <v>0</v>
      </c>
      <c r="CL102" s="24" t="str">
        <f t="shared" ca="1" si="13"/>
        <v/>
      </c>
      <c r="CM102" s="35">
        <f>IF(COUNTIF($B$13:B102,B102)=1,1,0)</f>
        <v>0</v>
      </c>
      <c r="CN102" s="35">
        <f>SUM($CM$13:CM102)</f>
        <v>0</v>
      </c>
      <c r="CO102" s="24"/>
      <c r="CP102" s="24"/>
      <c r="CT102" s="166"/>
      <c r="CU102" s="166"/>
      <c r="CV102" s="166"/>
      <c r="CW102" s="166"/>
      <c r="CX102" s="166"/>
      <c r="CY102" s="166"/>
      <c r="CZ102" s="166"/>
    </row>
    <row r="103" spans="1:104" x14ac:dyDescent="0.15">
      <c r="A103" s="86" t="str">
        <f t="shared" si="15"/>
        <v/>
      </c>
      <c r="B103" s="232"/>
      <c r="C103" s="233"/>
      <c r="D103" s="232"/>
      <c r="E103" s="233"/>
      <c r="F103" s="257"/>
      <c r="G103" s="258"/>
      <c r="H103" s="259"/>
      <c r="I103" s="102"/>
      <c r="J103" s="127"/>
      <c r="K103" s="102"/>
      <c r="L103" s="131"/>
      <c r="M103" s="128"/>
      <c r="N103" s="102"/>
      <c r="O103" s="217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23"/>
      <c r="BW103" s="129"/>
      <c r="BX103" s="130"/>
      <c r="BY103" s="113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5"/>
      <c r="CK103" s="6" t="b">
        <f t="shared" si="14"/>
        <v>0</v>
      </c>
      <c r="CL103" s="24" t="str">
        <f t="shared" ca="1" si="13"/>
        <v/>
      </c>
      <c r="CM103" s="35">
        <f>IF(COUNTIF($B$13:B103,B103)=1,1,0)</f>
        <v>0</v>
      </c>
      <c r="CN103" s="35">
        <f>SUM($CM$13:CM103)</f>
        <v>0</v>
      </c>
      <c r="CO103" s="24"/>
      <c r="CP103" s="24"/>
      <c r="CT103" s="166"/>
      <c r="CU103" s="166"/>
      <c r="CV103" s="166"/>
      <c r="CW103" s="166"/>
      <c r="CX103" s="166"/>
      <c r="CY103" s="166"/>
      <c r="CZ103" s="166"/>
    </row>
    <row r="104" spans="1:104" x14ac:dyDescent="0.15">
      <c r="A104" s="86" t="str">
        <f t="shared" si="15"/>
        <v/>
      </c>
      <c r="B104" s="232"/>
      <c r="C104" s="233"/>
      <c r="D104" s="232"/>
      <c r="E104" s="233"/>
      <c r="F104" s="257"/>
      <c r="G104" s="258"/>
      <c r="H104" s="259"/>
      <c r="I104" s="102"/>
      <c r="J104" s="127"/>
      <c r="K104" s="102"/>
      <c r="L104" s="131"/>
      <c r="M104" s="128"/>
      <c r="N104" s="102"/>
      <c r="O104" s="217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23"/>
      <c r="BW104" s="129"/>
      <c r="BX104" s="130"/>
      <c r="BY104" s="113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5"/>
      <c r="CK104" s="6" t="b">
        <f t="shared" si="14"/>
        <v>0</v>
      </c>
      <c r="CL104" s="24" t="str">
        <f t="shared" ca="1" si="13"/>
        <v/>
      </c>
      <c r="CM104" s="35">
        <f>IF(COUNTIF($B$13:B104,B104)=1,1,0)</f>
        <v>0</v>
      </c>
      <c r="CN104" s="35">
        <f>SUM($CM$13:CM104)</f>
        <v>0</v>
      </c>
      <c r="CO104" s="24"/>
      <c r="CP104" s="24"/>
      <c r="CT104" s="166"/>
      <c r="CU104" s="166"/>
      <c r="CV104" s="166"/>
      <c r="CW104" s="166"/>
      <c r="CX104" s="166"/>
      <c r="CY104" s="166"/>
      <c r="CZ104" s="166"/>
    </row>
    <row r="105" spans="1:104" x14ac:dyDescent="0.15">
      <c r="A105" s="86" t="str">
        <f t="shared" si="15"/>
        <v/>
      </c>
      <c r="B105" s="232"/>
      <c r="C105" s="233"/>
      <c r="D105" s="232"/>
      <c r="E105" s="233"/>
      <c r="F105" s="257"/>
      <c r="G105" s="258"/>
      <c r="H105" s="259"/>
      <c r="I105" s="102"/>
      <c r="J105" s="127"/>
      <c r="K105" s="102"/>
      <c r="L105" s="131"/>
      <c r="M105" s="128"/>
      <c r="N105" s="102"/>
      <c r="O105" s="217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23"/>
      <c r="BW105" s="129"/>
      <c r="BX105" s="130"/>
      <c r="BY105" s="113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5"/>
      <c r="CK105" s="6" t="b">
        <f t="shared" si="14"/>
        <v>0</v>
      </c>
      <c r="CL105" s="24" t="str">
        <f t="shared" ca="1" si="13"/>
        <v/>
      </c>
      <c r="CM105" s="35">
        <f>IF(COUNTIF($B$13:B105,B105)=1,1,0)</f>
        <v>0</v>
      </c>
      <c r="CN105" s="35">
        <f>SUM($CM$13:CM105)</f>
        <v>0</v>
      </c>
      <c r="CO105" s="24"/>
      <c r="CP105" s="24"/>
      <c r="CT105" s="166"/>
      <c r="CU105" s="166"/>
      <c r="CV105" s="166"/>
      <c r="CW105" s="166"/>
      <c r="CX105" s="166"/>
      <c r="CY105" s="166"/>
      <c r="CZ105" s="166"/>
    </row>
    <row r="106" spans="1:104" x14ac:dyDescent="0.15">
      <c r="A106" s="86" t="str">
        <f t="shared" si="15"/>
        <v/>
      </c>
      <c r="B106" s="232"/>
      <c r="C106" s="233"/>
      <c r="D106" s="232"/>
      <c r="E106" s="233"/>
      <c r="F106" s="257"/>
      <c r="G106" s="258"/>
      <c r="H106" s="259"/>
      <c r="I106" s="102"/>
      <c r="J106" s="127"/>
      <c r="K106" s="102"/>
      <c r="L106" s="131"/>
      <c r="M106" s="128"/>
      <c r="N106" s="102"/>
      <c r="O106" s="217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23"/>
      <c r="BW106" s="129"/>
      <c r="BX106" s="130"/>
      <c r="BY106" s="113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5"/>
      <c r="CK106" s="6" t="b">
        <f t="shared" si="14"/>
        <v>0</v>
      </c>
      <c r="CL106" s="24" t="str">
        <f t="shared" ca="1" si="13"/>
        <v/>
      </c>
      <c r="CM106" s="35">
        <f>IF(COUNTIF($B$13:B106,B106)=1,1,0)</f>
        <v>0</v>
      </c>
      <c r="CN106" s="35">
        <f>SUM($CM$13:CM106)</f>
        <v>0</v>
      </c>
      <c r="CO106" s="24"/>
      <c r="CP106" s="24"/>
      <c r="CT106" s="166"/>
      <c r="CU106" s="166"/>
      <c r="CV106" s="166"/>
      <c r="CW106" s="166"/>
      <c r="CX106" s="166"/>
      <c r="CY106" s="166"/>
      <c r="CZ106" s="166"/>
    </row>
    <row r="107" spans="1:104" x14ac:dyDescent="0.15">
      <c r="A107" s="86" t="str">
        <f t="shared" si="15"/>
        <v/>
      </c>
      <c r="B107" s="232"/>
      <c r="C107" s="233"/>
      <c r="D107" s="132"/>
      <c r="E107" s="133"/>
      <c r="F107" s="257"/>
      <c r="G107" s="258"/>
      <c r="H107" s="259"/>
      <c r="I107" s="100"/>
      <c r="J107" s="134"/>
      <c r="K107" s="100"/>
      <c r="L107" s="117"/>
      <c r="M107" s="135"/>
      <c r="N107" s="100"/>
      <c r="O107" s="218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24"/>
      <c r="BW107" s="136"/>
      <c r="BX107" s="137"/>
      <c r="BY107" s="124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6"/>
      <c r="CK107" s="6" t="b">
        <f t="shared" si="14"/>
        <v>0</v>
      </c>
      <c r="CL107" s="24" t="str">
        <f t="shared" ca="1" si="13"/>
        <v/>
      </c>
      <c r="CM107" s="35">
        <f>IF(COUNTIF($B$13:B107,B107)=1,1,0)</f>
        <v>0</v>
      </c>
      <c r="CN107" s="35">
        <f>SUM($CM$13:CM107)</f>
        <v>0</v>
      </c>
      <c r="CO107" s="24"/>
      <c r="CP107" s="24"/>
      <c r="CT107" s="166"/>
      <c r="CU107" s="166"/>
      <c r="CV107" s="166"/>
      <c r="CW107" s="166"/>
      <c r="CX107" s="166"/>
      <c r="CY107" s="166"/>
      <c r="CZ107" s="166"/>
    </row>
    <row r="108" spans="1:104" x14ac:dyDescent="0.15">
      <c r="A108" s="86" t="str">
        <f t="shared" si="15"/>
        <v/>
      </c>
      <c r="B108" s="232"/>
      <c r="C108" s="233"/>
      <c r="D108" s="132"/>
      <c r="E108" s="133"/>
      <c r="F108" s="257"/>
      <c r="G108" s="258"/>
      <c r="H108" s="259"/>
      <c r="I108" s="100"/>
      <c r="J108" s="134"/>
      <c r="K108" s="100"/>
      <c r="L108" s="117"/>
      <c r="M108" s="135"/>
      <c r="N108" s="100"/>
      <c r="O108" s="218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24"/>
      <c r="BW108" s="136"/>
      <c r="BX108" s="137"/>
      <c r="BY108" s="124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6"/>
      <c r="CK108" s="6" t="b">
        <f t="shared" si="14"/>
        <v>0</v>
      </c>
      <c r="CL108" s="24" t="str">
        <f t="shared" ca="1" si="13"/>
        <v/>
      </c>
      <c r="CM108" s="35">
        <f>IF(COUNTIF($B$13:B108,B108)=1,1,0)</f>
        <v>0</v>
      </c>
      <c r="CN108" s="35">
        <f>SUM($CM$13:CM108)</f>
        <v>0</v>
      </c>
      <c r="CO108" s="24"/>
      <c r="CP108" s="24"/>
      <c r="CT108" s="166"/>
      <c r="CU108" s="166"/>
      <c r="CV108" s="166"/>
      <c r="CW108" s="166"/>
      <c r="CX108" s="166"/>
      <c r="CY108" s="166"/>
      <c r="CZ108" s="166"/>
    </row>
    <row r="109" spans="1:104" x14ac:dyDescent="0.15">
      <c r="A109" s="86" t="str">
        <f t="shared" si="15"/>
        <v/>
      </c>
      <c r="B109" s="232"/>
      <c r="C109" s="233"/>
      <c r="D109" s="132"/>
      <c r="E109" s="133"/>
      <c r="F109" s="257"/>
      <c r="G109" s="258"/>
      <c r="H109" s="259"/>
      <c r="I109" s="100"/>
      <c r="J109" s="134"/>
      <c r="K109" s="100"/>
      <c r="L109" s="117"/>
      <c r="M109" s="135"/>
      <c r="N109" s="100"/>
      <c r="O109" s="218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24"/>
      <c r="BW109" s="136"/>
      <c r="BX109" s="137"/>
      <c r="BY109" s="124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6"/>
      <c r="CK109" s="6" t="b">
        <f t="shared" si="14"/>
        <v>0</v>
      </c>
      <c r="CL109" s="24" t="str">
        <f t="shared" ca="1" si="13"/>
        <v/>
      </c>
      <c r="CM109" s="35">
        <f>IF(COUNTIF($B$13:B109,B109)=1,1,0)</f>
        <v>0</v>
      </c>
      <c r="CN109" s="35">
        <f>SUM($CM$13:CM109)</f>
        <v>0</v>
      </c>
      <c r="CO109" s="24"/>
      <c r="CP109" s="24"/>
      <c r="CT109" s="166"/>
      <c r="CU109" s="166"/>
      <c r="CV109" s="166"/>
      <c r="CW109" s="166"/>
      <c r="CX109" s="166"/>
      <c r="CY109" s="166"/>
      <c r="CZ109" s="166"/>
    </row>
    <row r="110" spans="1:104" x14ac:dyDescent="0.15">
      <c r="A110" s="86" t="str">
        <f t="shared" si="15"/>
        <v/>
      </c>
      <c r="B110" s="232"/>
      <c r="C110" s="233"/>
      <c r="D110" s="132"/>
      <c r="E110" s="133"/>
      <c r="F110" s="257"/>
      <c r="G110" s="258"/>
      <c r="H110" s="259"/>
      <c r="I110" s="100"/>
      <c r="J110" s="134"/>
      <c r="K110" s="100"/>
      <c r="L110" s="117"/>
      <c r="M110" s="135"/>
      <c r="N110" s="100"/>
      <c r="O110" s="218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24"/>
      <c r="BW110" s="136"/>
      <c r="BX110" s="137"/>
      <c r="BY110" s="124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6"/>
      <c r="CK110" s="6" t="b">
        <f t="shared" si="14"/>
        <v>0</v>
      </c>
      <c r="CL110" s="24" t="str">
        <f t="shared" ca="1" si="13"/>
        <v/>
      </c>
      <c r="CM110" s="35">
        <f>IF(COUNTIF($B$13:B110,B110)=1,1,0)</f>
        <v>0</v>
      </c>
      <c r="CN110" s="35">
        <f>SUM($CM$13:CM110)</f>
        <v>0</v>
      </c>
      <c r="CO110" s="24"/>
      <c r="CP110" s="24"/>
      <c r="CT110" s="166"/>
      <c r="CU110" s="166"/>
      <c r="CV110" s="166"/>
      <c r="CW110" s="166"/>
      <c r="CX110" s="166"/>
      <c r="CY110" s="166"/>
      <c r="CZ110" s="166"/>
    </row>
    <row r="111" spans="1:104" x14ac:dyDescent="0.15">
      <c r="A111" s="86" t="str">
        <f t="shared" si="15"/>
        <v/>
      </c>
      <c r="B111" s="232"/>
      <c r="C111" s="233"/>
      <c r="D111" s="132"/>
      <c r="E111" s="133"/>
      <c r="F111" s="257"/>
      <c r="G111" s="258"/>
      <c r="H111" s="259"/>
      <c r="I111" s="100"/>
      <c r="J111" s="134"/>
      <c r="K111" s="100"/>
      <c r="L111" s="117"/>
      <c r="M111" s="135"/>
      <c r="N111" s="100"/>
      <c r="O111" s="218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24"/>
      <c r="BW111" s="136"/>
      <c r="BX111" s="137"/>
      <c r="BY111" s="124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6"/>
      <c r="CK111" s="6" t="b">
        <f t="shared" si="14"/>
        <v>0</v>
      </c>
      <c r="CL111" s="24" t="str">
        <f t="shared" ca="1" si="13"/>
        <v/>
      </c>
      <c r="CM111" s="35">
        <f>IF(COUNTIF($B$13:B111,B111)=1,1,0)</f>
        <v>0</v>
      </c>
      <c r="CN111" s="35">
        <f>SUM($CM$13:CM111)</f>
        <v>0</v>
      </c>
      <c r="CO111" s="24"/>
      <c r="CP111" s="24"/>
      <c r="CT111" s="166"/>
      <c r="CU111" s="166"/>
      <c r="CV111" s="166"/>
      <c r="CW111" s="166"/>
      <c r="CX111" s="166"/>
      <c r="CY111" s="166"/>
      <c r="CZ111" s="166"/>
    </row>
    <row r="112" spans="1:104" ht="14.25" thickBot="1" x14ac:dyDescent="0.2">
      <c r="A112" s="87" t="str">
        <f t="shared" si="15"/>
        <v/>
      </c>
      <c r="B112" s="227"/>
      <c r="C112" s="228"/>
      <c r="D112" s="227"/>
      <c r="E112" s="228"/>
      <c r="F112" s="260"/>
      <c r="G112" s="261"/>
      <c r="H112" s="262"/>
      <c r="I112" s="138"/>
      <c r="J112" s="139"/>
      <c r="K112" s="138"/>
      <c r="L112" s="140"/>
      <c r="M112" s="141"/>
      <c r="N112" s="138"/>
      <c r="O112" s="220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5"/>
      <c r="BW112" s="142"/>
      <c r="BX112" s="143"/>
      <c r="BY112" s="144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6"/>
      <c r="CK112" s="6" t="b">
        <f t="shared" si="14"/>
        <v>0</v>
      </c>
      <c r="CL112" s="24" t="str">
        <f t="shared" ca="1" si="13"/>
        <v/>
      </c>
      <c r="CM112" s="35">
        <f>IF(COUNTIF($B$13:B112,B112)=1,1,0)</f>
        <v>0</v>
      </c>
      <c r="CN112" s="35">
        <f>SUM($CM$13:CM112)</f>
        <v>0</v>
      </c>
      <c r="CO112" s="24"/>
      <c r="CP112" s="24"/>
      <c r="CT112" s="166"/>
      <c r="CU112" s="166"/>
      <c r="CV112" s="166"/>
      <c r="CW112" s="166"/>
      <c r="CX112" s="166"/>
      <c r="CY112" s="166"/>
      <c r="CZ112" s="166"/>
    </row>
  </sheetData>
  <mergeCells count="320"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CM12:CN12"/>
    <mergeCell ref="C2:G2"/>
    <mergeCell ref="C3:G3"/>
    <mergeCell ref="D5:G5"/>
    <mergeCell ref="F10:H12"/>
    <mergeCell ref="F13:H13"/>
    <mergeCell ref="F14:H14"/>
    <mergeCell ref="F15:H15"/>
    <mergeCell ref="F16:H16"/>
    <mergeCell ref="CC3:CH3"/>
    <mergeCell ref="CI3:CJ3"/>
    <mergeCell ref="BY10:CJ12"/>
    <mergeCell ref="BX10:BX12"/>
    <mergeCell ref="BY3:CB3"/>
    <mergeCell ref="N10:N12"/>
    <mergeCell ref="M10:M12"/>
    <mergeCell ref="K10:L10"/>
    <mergeCell ref="L11:L12"/>
    <mergeCell ref="BW10:BW12"/>
    <mergeCell ref="K11:K12"/>
    <mergeCell ref="D112:E112"/>
    <mergeCell ref="D105:E105"/>
    <mergeCell ref="D106:E106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D103:E103"/>
    <mergeCell ref="D104:E104"/>
    <mergeCell ref="D101:E101"/>
    <mergeCell ref="D102:E102"/>
    <mergeCell ref="F101:H101"/>
    <mergeCell ref="F102:H102"/>
    <mergeCell ref="F103:H103"/>
    <mergeCell ref="F104:H104"/>
    <mergeCell ref="D99:E99"/>
    <mergeCell ref="D100:E100"/>
    <mergeCell ref="D97:E97"/>
    <mergeCell ref="D98:E98"/>
    <mergeCell ref="F97:H97"/>
    <mergeCell ref="F98:H98"/>
    <mergeCell ref="F99:H99"/>
    <mergeCell ref="F100:H100"/>
    <mergeCell ref="D95:E95"/>
    <mergeCell ref="D96:E96"/>
    <mergeCell ref="D93:E93"/>
    <mergeCell ref="D94:E94"/>
    <mergeCell ref="F93:H93"/>
    <mergeCell ref="F94:H94"/>
    <mergeCell ref="F95:H95"/>
    <mergeCell ref="F96:H96"/>
    <mergeCell ref="D91:E91"/>
    <mergeCell ref="D92:E92"/>
    <mergeCell ref="D89:E89"/>
    <mergeCell ref="D90:E90"/>
    <mergeCell ref="F89:H89"/>
    <mergeCell ref="F90:H90"/>
    <mergeCell ref="F91:H91"/>
    <mergeCell ref="F92:H92"/>
    <mergeCell ref="D87:E87"/>
    <mergeCell ref="D88:E88"/>
    <mergeCell ref="D85:E85"/>
    <mergeCell ref="D86:E86"/>
    <mergeCell ref="F85:H85"/>
    <mergeCell ref="F86:H86"/>
    <mergeCell ref="F87:H87"/>
    <mergeCell ref="F88:H88"/>
    <mergeCell ref="D83:E83"/>
    <mergeCell ref="D84:E84"/>
    <mergeCell ref="D81:E81"/>
    <mergeCell ref="D82:E82"/>
    <mergeCell ref="F81:H81"/>
    <mergeCell ref="F82:H82"/>
    <mergeCell ref="F83:H83"/>
    <mergeCell ref="F84:H84"/>
    <mergeCell ref="D79:E79"/>
    <mergeCell ref="D80:E80"/>
    <mergeCell ref="D77:E77"/>
    <mergeCell ref="D78:E78"/>
    <mergeCell ref="F77:H77"/>
    <mergeCell ref="F78:H78"/>
    <mergeCell ref="F79:H79"/>
    <mergeCell ref="F80:H80"/>
    <mergeCell ref="D75:E75"/>
    <mergeCell ref="D76:E76"/>
    <mergeCell ref="D73:E73"/>
    <mergeCell ref="D74:E74"/>
    <mergeCell ref="F73:H73"/>
    <mergeCell ref="F74:H74"/>
    <mergeCell ref="F75:H75"/>
    <mergeCell ref="F76:H76"/>
    <mergeCell ref="D71:E71"/>
    <mergeCell ref="D72:E72"/>
    <mergeCell ref="D69:E69"/>
    <mergeCell ref="D70:E70"/>
    <mergeCell ref="F72:H72"/>
    <mergeCell ref="F70:H70"/>
    <mergeCell ref="F71:H71"/>
    <mergeCell ref="D67:E67"/>
    <mergeCell ref="D68:E68"/>
    <mergeCell ref="D65:E65"/>
    <mergeCell ref="D66:E66"/>
    <mergeCell ref="F35:H35"/>
    <mergeCell ref="F36:H36"/>
    <mergeCell ref="F37:H37"/>
    <mergeCell ref="F38:H38"/>
    <mergeCell ref="F39:H39"/>
    <mergeCell ref="F40:H40"/>
    <mergeCell ref="F41:H41"/>
    <mergeCell ref="F42:H42"/>
    <mergeCell ref="D64:E64"/>
    <mergeCell ref="D36:E36"/>
    <mergeCell ref="D37:E37"/>
    <mergeCell ref="D38:E38"/>
    <mergeCell ref="D39:E39"/>
    <mergeCell ref="D40:E40"/>
    <mergeCell ref="D53:E53"/>
    <mergeCell ref="D54:E54"/>
    <mergeCell ref="F43:H43"/>
    <mergeCell ref="F44:H44"/>
    <mergeCell ref="F45:H45"/>
    <mergeCell ref="F46:H46"/>
    <mergeCell ref="D43:E43"/>
    <mergeCell ref="F52:H52"/>
    <mergeCell ref="F53:H53"/>
    <mergeCell ref="D58:E58"/>
    <mergeCell ref="D59:E59"/>
    <mergeCell ref="D60:E60"/>
    <mergeCell ref="D44:E44"/>
    <mergeCell ref="D35:E35"/>
    <mergeCell ref="D56:E56"/>
    <mergeCell ref="D57:E57"/>
    <mergeCell ref="F47:H47"/>
    <mergeCell ref="F48:H48"/>
    <mergeCell ref="F49:H49"/>
    <mergeCell ref="F50:H50"/>
    <mergeCell ref="F51:H51"/>
    <mergeCell ref="F54:H54"/>
    <mergeCell ref="F55:H55"/>
    <mergeCell ref="F56:H56"/>
    <mergeCell ref="F57:H57"/>
    <mergeCell ref="F58:H58"/>
    <mergeCell ref="F59:H59"/>
    <mergeCell ref="F60:H60"/>
    <mergeCell ref="D61:E61"/>
    <mergeCell ref="D62:E62"/>
    <mergeCell ref="D24:E24"/>
    <mergeCell ref="D25:E25"/>
    <mergeCell ref="D63:E63"/>
    <mergeCell ref="D51:E51"/>
    <mergeCell ref="D52:E52"/>
    <mergeCell ref="D27:E27"/>
    <mergeCell ref="D28:E28"/>
    <mergeCell ref="D29:E29"/>
    <mergeCell ref="D30:E30"/>
    <mergeCell ref="D31:E31"/>
    <mergeCell ref="D32:E32"/>
    <mergeCell ref="D33:E33"/>
    <mergeCell ref="D34:E34"/>
    <mergeCell ref="D45:E45"/>
    <mergeCell ref="D46:E46"/>
    <mergeCell ref="D47:E47"/>
    <mergeCell ref="D48:E48"/>
    <mergeCell ref="D49:E49"/>
    <mergeCell ref="D50:E50"/>
    <mergeCell ref="D55:E55"/>
    <mergeCell ref="D41:E41"/>
    <mergeCell ref="D42:E42"/>
    <mergeCell ref="A10:A12"/>
    <mergeCell ref="I10:I12"/>
    <mergeCell ref="J10:J12"/>
    <mergeCell ref="D10:E12"/>
    <mergeCell ref="B10:C12"/>
    <mergeCell ref="D13:E13"/>
    <mergeCell ref="D14:E14"/>
    <mergeCell ref="D15:E15"/>
    <mergeCell ref="D26:E26"/>
    <mergeCell ref="D16:E16"/>
    <mergeCell ref="D17:E17"/>
    <mergeCell ref="D18:E18"/>
    <mergeCell ref="D19:E19"/>
    <mergeCell ref="D20:E20"/>
    <mergeCell ref="D21:E21"/>
    <mergeCell ref="D22:E22"/>
    <mergeCell ref="D23:E23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112:C112"/>
    <mergeCell ref="A2:B2"/>
    <mergeCell ref="A3:B3"/>
    <mergeCell ref="A4:B4"/>
    <mergeCell ref="A5:C5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83:C83"/>
    <mergeCell ref="B84:C84"/>
    <mergeCell ref="B96:C96"/>
    <mergeCell ref="B97:C97"/>
    <mergeCell ref="B98:C98"/>
    <mergeCell ref="B99:C99"/>
    <mergeCell ref="B100:C100"/>
    <mergeCell ref="B101:C101"/>
  </mergeCells>
  <phoneticPr fontId="1"/>
  <conditionalFormatting sqref="L13:L112">
    <cfRule type="expression" dxfId="27" priority="13" stopIfTrue="1">
      <formula>$K13="未実施"</formula>
    </cfRule>
  </conditionalFormatting>
  <conditionalFormatting sqref="P10:BV10">
    <cfRule type="expression" dxfId="26" priority="12" stopIfTrue="1">
      <formula>P$10&lt;&gt;""</formula>
    </cfRule>
  </conditionalFormatting>
  <conditionalFormatting sqref="O13:BV112">
    <cfRule type="expression" dxfId="25" priority="30" stopIfTrue="1">
      <formula>$CC$3=O$9</formula>
    </cfRule>
  </conditionalFormatting>
  <conditionalFormatting sqref="CT12:CV23">
    <cfRule type="expression" dxfId="24" priority="4">
      <formula>$CU$12&lt;&gt;""</formula>
    </cfRule>
  </conditionalFormatting>
  <conditionalFormatting sqref="CX12:CZ13">
    <cfRule type="expression" dxfId="23" priority="3">
      <formula>$CX$13&lt;&gt;""</formula>
    </cfRule>
  </conditionalFormatting>
  <conditionalFormatting sqref="CT26:CV37">
    <cfRule type="expression" dxfId="22" priority="2">
      <formula>$CU$26&lt;&gt;""</formula>
    </cfRule>
  </conditionalFormatting>
  <conditionalFormatting sqref="CX26:CZ27">
    <cfRule type="expression" dxfId="21" priority="1">
      <formula>$CX$27&lt;&gt;""</formula>
    </cfRule>
  </conditionalFormatting>
  <dataValidations count="3">
    <dataValidation type="list" allowBlank="1" showInputMessage="1" showErrorMessage="1" sqref="I13:I112">
      <formula1>"男,女"</formula1>
    </dataValidation>
    <dataValidation type="list" allowBlank="1" showInputMessage="1" showErrorMessage="1" sqref="K13:K112">
      <formula1>"陽性,陰性,未実施"</formula1>
    </dataValidation>
    <dataValidation type="list" allowBlank="1" showInputMessage="1" showErrorMessage="1" sqref="O13:BV112">
      <formula1>"○"</formula1>
    </dataValidation>
  </dataValidations>
  <hyperlinks>
    <hyperlink ref="K4" location="'記載様式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92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Sheet2!$A$1:$A$5</xm:f>
          </x14:formula1>
          <xm:sqref>C3:G3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T119"/>
  <sheetViews>
    <sheetView view="pageBreakPreview" zoomScaleNormal="100" zoomScaleSheetLayoutView="100" zoomScalePageLayoutView="110" workbookViewId="0"/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2" width="2.625" style="1" hidden="1" customWidth="1"/>
    <col min="73" max="74" width="3.375" style="1" hidden="1" customWidth="1"/>
    <col min="75" max="85" width="3.375" style="1" customWidth="1"/>
    <col min="86" max="86" width="3.375" style="20" customWidth="1"/>
    <col min="87" max="87" width="9" style="1" hidden="1" customWidth="1"/>
    <col min="88" max="88" width="17.25" style="1" hidden="1" customWidth="1"/>
    <col min="89" max="90" width="9" style="1" hidden="1" customWidth="1"/>
    <col min="91" max="91" width="2.625" style="166" customWidth="1"/>
    <col min="92" max="92" width="17" style="166" customWidth="1"/>
    <col min="93" max="94" width="9" style="166" customWidth="1"/>
    <col min="95" max="95" width="3.625" style="166" customWidth="1"/>
    <col min="96" max="96" width="17" style="166" customWidth="1"/>
    <col min="97" max="98" width="9" style="166" customWidth="1"/>
    <col min="99" max="16384" width="9" style="1"/>
  </cols>
  <sheetData>
    <row r="1" spans="1:98" s="166" customFormat="1" ht="19.5" customHeight="1" x14ac:dyDescent="0.15">
      <c r="A1" s="168" t="s">
        <v>83</v>
      </c>
      <c r="H1" s="177"/>
      <c r="I1" s="177"/>
      <c r="J1" s="177"/>
      <c r="K1" s="177"/>
      <c r="M1" s="177"/>
      <c r="S1" s="174" t="s">
        <v>28</v>
      </c>
      <c r="BX1" s="175"/>
      <c r="BY1" s="176"/>
      <c r="BZ1" s="176"/>
      <c r="CA1" s="176"/>
      <c r="CB1" s="176"/>
      <c r="CC1" s="176"/>
      <c r="CD1" s="176"/>
      <c r="CE1" s="176"/>
      <c r="CH1" s="205"/>
    </row>
    <row r="2" spans="1:98" s="166" customFormat="1" ht="18.75" customHeight="1" thickBot="1" x14ac:dyDescent="0.2">
      <c r="A2" s="297" t="s">
        <v>13</v>
      </c>
      <c r="B2" s="297"/>
      <c r="C2" s="306" t="str">
        <f>IF('記載様式（入院患者）'!C2="","",'記載様式（入院患者）'!C2)</f>
        <v/>
      </c>
      <c r="D2" s="306"/>
      <c r="E2" s="306"/>
      <c r="F2" s="306"/>
      <c r="G2" s="306"/>
      <c r="H2" s="165"/>
      <c r="I2" s="165" t="s">
        <v>79</v>
      </c>
      <c r="K2" s="165"/>
      <c r="L2" s="167"/>
      <c r="M2" s="165"/>
      <c r="N2" s="167"/>
      <c r="O2" s="181"/>
      <c r="Q2" s="181"/>
      <c r="R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X2" s="176"/>
      <c r="BY2" s="176"/>
      <c r="BZ2" s="176"/>
      <c r="CA2" s="176"/>
      <c r="CB2" s="176"/>
      <c r="CC2" s="176"/>
      <c r="CD2" s="176"/>
      <c r="CE2" s="176"/>
      <c r="CH2" s="205"/>
    </row>
    <row r="3" spans="1:98" s="166" customFormat="1" ht="18.75" customHeight="1" thickBot="1" x14ac:dyDescent="0.2">
      <c r="A3" s="298" t="s">
        <v>74</v>
      </c>
      <c r="B3" s="298"/>
      <c r="C3" s="307" t="str">
        <f>IF('記載様式（入院患者）'!C3="","",'記載様式（入院患者）'!C3)</f>
        <v/>
      </c>
      <c r="D3" s="307"/>
      <c r="E3" s="307"/>
      <c r="F3" s="307"/>
      <c r="G3" s="307"/>
      <c r="H3" s="169"/>
      <c r="I3" s="168" t="s">
        <v>80</v>
      </c>
      <c r="N3" s="167"/>
      <c r="O3" s="183"/>
      <c r="P3" s="183"/>
      <c r="Q3" s="183"/>
      <c r="R3" s="183"/>
      <c r="S3" s="183"/>
      <c r="T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W3" s="300" t="s">
        <v>17</v>
      </c>
      <c r="BX3" s="300"/>
      <c r="BY3" s="300"/>
      <c r="BZ3" s="300"/>
      <c r="CA3" s="301" t="str">
        <f>IF('記載様式（入院患者）'!CC3="","",'記載様式（入院患者）'!CC3)</f>
        <v/>
      </c>
      <c r="CB3" s="301"/>
      <c r="CC3" s="301"/>
      <c r="CD3" s="301"/>
      <c r="CE3" s="301"/>
      <c r="CF3" s="301"/>
      <c r="CG3" s="299" t="s">
        <v>18</v>
      </c>
      <c r="CH3" s="299"/>
    </row>
    <row r="4" spans="1:98" s="177" customFormat="1" ht="18.75" customHeight="1" thickBot="1" x14ac:dyDescent="0.2">
      <c r="A4" s="298" t="s">
        <v>62</v>
      </c>
      <c r="B4" s="298"/>
      <c r="C4" s="206" t="str">
        <f>IF('記載様式（入院患者）'!C4="","",'記載様式（入院患者）'!C4)</f>
        <v/>
      </c>
      <c r="D4" s="187" t="s">
        <v>53</v>
      </c>
      <c r="E4" s="188" t="s">
        <v>32</v>
      </c>
      <c r="F4" s="207" t="str">
        <f>IF('記載様式（入院患者）'!F4="","",'記載様式（入院患者）'!F4)</f>
        <v/>
      </c>
      <c r="G4" s="208" t="s">
        <v>53</v>
      </c>
      <c r="H4" s="189"/>
      <c r="I4" s="165" t="s">
        <v>76</v>
      </c>
      <c r="J4" s="169"/>
      <c r="K4" s="170" t="s">
        <v>77</v>
      </c>
      <c r="L4" s="171" t="s">
        <v>78</v>
      </c>
      <c r="M4" s="169"/>
      <c r="N4" s="172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CF4" s="183"/>
      <c r="CH4" s="178"/>
    </row>
    <row r="5" spans="1:98" s="177" customFormat="1" ht="18.75" customHeight="1" thickBot="1" x14ac:dyDescent="0.2">
      <c r="A5" s="298" t="s">
        <v>15</v>
      </c>
      <c r="B5" s="298"/>
      <c r="C5" s="298"/>
      <c r="D5" s="308" t="str">
        <f>IF('記載様式（入院患者）'!D5="","",'記載様式（入院患者）'!D5)</f>
        <v/>
      </c>
      <c r="E5" s="308"/>
      <c r="F5" s="308"/>
      <c r="G5" s="308"/>
      <c r="H5" s="209"/>
      <c r="I5" s="165" t="s">
        <v>81</v>
      </c>
      <c r="J5" s="165"/>
      <c r="K5" s="172"/>
      <c r="L5" s="172"/>
      <c r="M5" s="165"/>
      <c r="N5" s="173"/>
      <c r="O5" s="191" t="s">
        <v>72</v>
      </c>
      <c r="P5" s="183"/>
      <c r="Q5" s="183"/>
      <c r="R5" s="183"/>
      <c r="S5" s="183"/>
      <c r="T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H5" s="178"/>
    </row>
    <row r="6" spans="1:98" s="166" customFormat="1" ht="18.75" customHeight="1" thickBot="1" x14ac:dyDescent="0.2">
      <c r="A6" s="193"/>
      <c r="B6" s="193"/>
      <c r="C6" s="193"/>
      <c r="D6" s="193"/>
      <c r="E6" s="193"/>
      <c r="F6" s="183"/>
      <c r="G6" s="183"/>
      <c r="H6" s="183"/>
      <c r="I6" s="183"/>
      <c r="J6" s="183"/>
      <c r="K6" s="183"/>
      <c r="L6" s="183"/>
      <c r="M6" s="183"/>
      <c r="N6" s="183"/>
      <c r="O6" s="194" t="s">
        <v>6</v>
      </c>
      <c r="P6" s="183"/>
      <c r="Q6" s="183"/>
      <c r="R6" s="183"/>
      <c r="S6" s="183"/>
      <c r="T6" s="183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H6" s="205"/>
      <c r="CJ6" s="194"/>
      <c r="CK6" s="194"/>
      <c r="CL6" s="194"/>
    </row>
    <row r="7" spans="1:98" ht="15" hidden="1" thickBot="1" x14ac:dyDescent="0.2">
      <c r="A7" s="7"/>
      <c r="B7" s="40"/>
      <c r="C7" s="40"/>
      <c r="D7" s="40"/>
      <c r="E7" s="40"/>
      <c r="F7" s="7"/>
      <c r="G7" s="7"/>
      <c r="H7" s="7"/>
      <c r="I7" s="8"/>
      <c r="J7" s="8"/>
      <c r="K7" s="8"/>
      <c r="L7" s="8"/>
      <c r="M7" s="8"/>
      <c r="N7" s="8"/>
      <c r="O7" s="14" t="e">
        <f>YEAR($D$5)</f>
        <v>#VALUE!</v>
      </c>
      <c r="P7" s="14" t="e">
        <f>YEAR($D$5+1)</f>
        <v>#VALUE!</v>
      </c>
      <c r="Q7" s="14" t="e">
        <f>YEAR($D$5+2)</f>
        <v>#VALUE!</v>
      </c>
      <c r="R7" s="14" t="e">
        <f>YEAR($D$5+3)</f>
        <v>#VALUE!</v>
      </c>
      <c r="S7" s="14" t="e">
        <f>YEAR($D$5+4)</f>
        <v>#VALUE!</v>
      </c>
      <c r="T7" s="14" t="e">
        <f>YEAR($D$5+5)</f>
        <v>#VALUE!</v>
      </c>
      <c r="U7" s="14" t="e">
        <f>YEAR($D$5+6)</f>
        <v>#VALUE!</v>
      </c>
      <c r="V7" s="14" t="e">
        <f>YEAR($D$5+7)</f>
        <v>#VALUE!</v>
      </c>
      <c r="W7" s="14" t="e">
        <f>YEAR($D$5+8)</f>
        <v>#VALUE!</v>
      </c>
      <c r="X7" s="14" t="e">
        <f>YEAR($D$5+9)</f>
        <v>#VALUE!</v>
      </c>
      <c r="Y7" s="14" t="e">
        <f>YEAR($D$5+10)</f>
        <v>#VALUE!</v>
      </c>
      <c r="Z7" s="14" t="e">
        <f>YEAR($D$5+11)</f>
        <v>#VALUE!</v>
      </c>
      <c r="AA7" s="14" t="e">
        <f>YEAR($D$5+12)</f>
        <v>#VALUE!</v>
      </c>
      <c r="AB7" s="14" t="e">
        <f>YEAR($D$5+13)</f>
        <v>#VALUE!</v>
      </c>
      <c r="AC7" s="14" t="e">
        <f>YEAR($D$5+14)</f>
        <v>#VALUE!</v>
      </c>
      <c r="AD7" s="14" t="e">
        <f>YEAR($D$5+15)</f>
        <v>#VALUE!</v>
      </c>
      <c r="AE7" s="14" t="e">
        <f>YEAR($D$5+16)</f>
        <v>#VALUE!</v>
      </c>
      <c r="AF7" s="14" t="e">
        <f>YEAR($D$5+17)</f>
        <v>#VALUE!</v>
      </c>
      <c r="AG7" s="14" t="e">
        <f>YEAR($D$5+18)</f>
        <v>#VALUE!</v>
      </c>
      <c r="AH7" s="14" t="e">
        <f>YEAR($D$5+19)</f>
        <v>#VALUE!</v>
      </c>
      <c r="AI7" s="14" t="e">
        <f>YEAR($D$5+20)</f>
        <v>#VALUE!</v>
      </c>
      <c r="AJ7" s="14" t="e">
        <f>YEAR($D$5+21)</f>
        <v>#VALUE!</v>
      </c>
      <c r="AK7" s="14" t="e">
        <f>YEAR($D$5+22)</f>
        <v>#VALUE!</v>
      </c>
      <c r="AL7" s="14" t="e">
        <f>YEAR($D$5+23)</f>
        <v>#VALUE!</v>
      </c>
      <c r="AM7" s="14" t="e">
        <f>YEAR($D$5+24)</f>
        <v>#VALUE!</v>
      </c>
      <c r="AN7" s="14" t="e">
        <f>YEAR($D$5+25)</f>
        <v>#VALUE!</v>
      </c>
      <c r="AO7" s="14" t="e">
        <f>YEAR($D$5+26)</f>
        <v>#VALUE!</v>
      </c>
      <c r="AP7" s="14" t="e">
        <f>YEAR($D$5+27)</f>
        <v>#VALUE!</v>
      </c>
      <c r="AQ7" s="14" t="e">
        <f>YEAR($D$5+28)</f>
        <v>#VALUE!</v>
      </c>
      <c r="AR7" s="14" t="e">
        <f t="shared" ref="AR7:BV7" si="0">YEAR($D$5+29)</f>
        <v>#VALUE!</v>
      </c>
      <c r="AS7" s="14" t="e">
        <f t="shared" si="0"/>
        <v>#VALUE!</v>
      </c>
      <c r="AT7" s="14" t="e">
        <f t="shared" si="0"/>
        <v>#VALUE!</v>
      </c>
      <c r="AU7" s="14" t="e">
        <f t="shared" si="0"/>
        <v>#VALUE!</v>
      </c>
      <c r="AV7" s="14" t="e">
        <f t="shared" si="0"/>
        <v>#VALUE!</v>
      </c>
      <c r="AW7" s="14" t="e">
        <f t="shared" si="0"/>
        <v>#VALUE!</v>
      </c>
      <c r="AX7" s="14" t="e">
        <f t="shared" si="0"/>
        <v>#VALUE!</v>
      </c>
      <c r="AY7" s="14" t="e">
        <f t="shared" si="0"/>
        <v>#VALUE!</v>
      </c>
      <c r="AZ7" s="14" t="e">
        <f t="shared" si="0"/>
        <v>#VALUE!</v>
      </c>
      <c r="BA7" s="14" t="e">
        <f t="shared" si="0"/>
        <v>#VALUE!</v>
      </c>
      <c r="BB7" s="14" t="e">
        <f t="shared" si="0"/>
        <v>#VALUE!</v>
      </c>
      <c r="BC7" s="14" t="e">
        <f t="shared" si="0"/>
        <v>#VALUE!</v>
      </c>
      <c r="BD7" s="14" t="e">
        <f t="shared" si="0"/>
        <v>#VALUE!</v>
      </c>
      <c r="BE7" s="14" t="e">
        <f t="shared" si="0"/>
        <v>#VALUE!</v>
      </c>
      <c r="BF7" s="14" t="e">
        <f t="shared" si="0"/>
        <v>#VALUE!</v>
      </c>
      <c r="BG7" s="14" t="e">
        <f t="shared" si="0"/>
        <v>#VALUE!</v>
      </c>
      <c r="BH7" s="14" t="e">
        <f t="shared" si="0"/>
        <v>#VALUE!</v>
      </c>
      <c r="BI7" s="14" t="e">
        <f t="shared" si="0"/>
        <v>#VALUE!</v>
      </c>
      <c r="BJ7" s="14" t="e">
        <f t="shared" si="0"/>
        <v>#VALUE!</v>
      </c>
      <c r="BK7" s="14" t="e">
        <f t="shared" si="0"/>
        <v>#VALUE!</v>
      </c>
      <c r="BL7" s="14" t="e">
        <f t="shared" si="0"/>
        <v>#VALUE!</v>
      </c>
      <c r="BM7" s="14" t="e">
        <f t="shared" si="0"/>
        <v>#VALUE!</v>
      </c>
      <c r="BN7" s="14" t="e">
        <f t="shared" si="0"/>
        <v>#VALUE!</v>
      </c>
      <c r="BO7" s="14" t="e">
        <f t="shared" si="0"/>
        <v>#VALUE!</v>
      </c>
      <c r="BP7" s="14" t="e">
        <f t="shared" si="0"/>
        <v>#VALUE!</v>
      </c>
      <c r="BQ7" s="14" t="e">
        <f t="shared" si="0"/>
        <v>#VALUE!</v>
      </c>
      <c r="BR7" s="14" t="e">
        <f t="shared" si="0"/>
        <v>#VALUE!</v>
      </c>
      <c r="BS7" s="14" t="e">
        <f t="shared" si="0"/>
        <v>#VALUE!</v>
      </c>
      <c r="BT7" s="14" t="e">
        <f t="shared" si="0"/>
        <v>#VALUE!</v>
      </c>
      <c r="BU7" s="14" t="e">
        <f t="shared" si="0"/>
        <v>#VALUE!</v>
      </c>
      <c r="BV7" s="14" t="e">
        <f t="shared" si="0"/>
        <v>#VALUE!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20"/>
      <c r="CL7" s="4"/>
    </row>
    <row r="8" spans="1:98" ht="15" hidden="1" thickBot="1" x14ac:dyDescent="0.2">
      <c r="A8" s="7"/>
      <c r="B8" s="40"/>
      <c r="C8" s="40"/>
      <c r="D8" s="40"/>
      <c r="E8" s="40"/>
      <c r="F8" s="7"/>
      <c r="G8" s="7"/>
      <c r="H8" s="7"/>
      <c r="I8" s="8"/>
      <c r="J8" s="8"/>
      <c r="K8" s="8"/>
      <c r="L8" s="8"/>
      <c r="M8" s="8"/>
      <c r="N8" s="8"/>
      <c r="O8" s="11" t="e">
        <f>MONTH($D$5)</f>
        <v>#VALUE!</v>
      </c>
      <c r="P8" s="11" t="e">
        <f>MONTH($D$5+1)</f>
        <v>#VALUE!</v>
      </c>
      <c r="Q8" s="11" t="e">
        <f>MONTH($D$5+2)</f>
        <v>#VALUE!</v>
      </c>
      <c r="R8" s="11" t="e">
        <f>MONTH($D$5+3)</f>
        <v>#VALUE!</v>
      </c>
      <c r="S8" s="11" t="e">
        <f>MONTH($D$5+4)</f>
        <v>#VALUE!</v>
      </c>
      <c r="T8" s="11" t="e">
        <f>MONTH($D$5+5)</f>
        <v>#VALUE!</v>
      </c>
      <c r="U8" s="11" t="e">
        <f>MONTH($D$5+6)</f>
        <v>#VALUE!</v>
      </c>
      <c r="V8" s="11" t="e">
        <f>MONTH($D$5+7)</f>
        <v>#VALUE!</v>
      </c>
      <c r="W8" s="11" t="e">
        <f>MONTH($D$5+8)</f>
        <v>#VALUE!</v>
      </c>
      <c r="X8" s="11" t="e">
        <f>MONTH($D$5+9)</f>
        <v>#VALUE!</v>
      </c>
      <c r="Y8" s="11" t="e">
        <f>MONTH($D$5+10)</f>
        <v>#VALUE!</v>
      </c>
      <c r="Z8" s="11" t="e">
        <f>MONTH($D$5+11)</f>
        <v>#VALUE!</v>
      </c>
      <c r="AA8" s="11" t="e">
        <f>MONTH($D$5+12)</f>
        <v>#VALUE!</v>
      </c>
      <c r="AB8" s="11" t="e">
        <f>MONTH($D$5+13)</f>
        <v>#VALUE!</v>
      </c>
      <c r="AC8" s="11" t="e">
        <f>MONTH($D$5+14)</f>
        <v>#VALUE!</v>
      </c>
      <c r="AD8" s="11" t="e">
        <f>MONTH($D$5+15)</f>
        <v>#VALUE!</v>
      </c>
      <c r="AE8" s="11" t="e">
        <f>MONTH($D$5+16)</f>
        <v>#VALUE!</v>
      </c>
      <c r="AF8" s="11" t="e">
        <f>MONTH($D$5+17)</f>
        <v>#VALUE!</v>
      </c>
      <c r="AG8" s="11" t="e">
        <f>MONTH($D$5+18)</f>
        <v>#VALUE!</v>
      </c>
      <c r="AH8" s="11" t="e">
        <f>MONTH($D$5+19)</f>
        <v>#VALUE!</v>
      </c>
      <c r="AI8" s="11" t="e">
        <f>MONTH($D$5+20)</f>
        <v>#VALUE!</v>
      </c>
      <c r="AJ8" s="11" t="e">
        <f>MONTH($D$5+21)</f>
        <v>#VALUE!</v>
      </c>
      <c r="AK8" s="11" t="e">
        <f>MONTH($D$5+22)</f>
        <v>#VALUE!</v>
      </c>
      <c r="AL8" s="11" t="e">
        <f>MONTH($D$5+23)</f>
        <v>#VALUE!</v>
      </c>
      <c r="AM8" s="11" t="e">
        <f>MONTH($D$5+24)</f>
        <v>#VALUE!</v>
      </c>
      <c r="AN8" s="11" t="e">
        <f>MONTH($D$5+25)</f>
        <v>#VALUE!</v>
      </c>
      <c r="AO8" s="11" t="e">
        <f>MONTH($D$5+26)</f>
        <v>#VALUE!</v>
      </c>
      <c r="AP8" s="11" t="e">
        <f>MONTH($D$5+27)</f>
        <v>#VALUE!</v>
      </c>
      <c r="AQ8" s="11" t="e">
        <f>MONTH($D$5+28)</f>
        <v>#VALUE!</v>
      </c>
      <c r="AR8" s="11" t="e">
        <f>MONTH($D$5+29)</f>
        <v>#VALUE!</v>
      </c>
      <c r="AS8" s="11" t="e">
        <f>MONTH($D$5+30)</f>
        <v>#VALUE!</v>
      </c>
      <c r="AT8" s="11" t="e">
        <f>MONTH($D$5+31)</f>
        <v>#VALUE!</v>
      </c>
      <c r="AU8" s="11" t="e">
        <f>MONTH($D$5+32)</f>
        <v>#VALUE!</v>
      </c>
      <c r="AV8" s="11" t="e">
        <f>MONTH($D$5+33)</f>
        <v>#VALUE!</v>
      </c>
      <c r="AW8" s="11" t="e">
        <f>MONTH($D$5+34)</f>
        <v>#VALUE!</v>
      </c>
      <c r="AX8" s="11" t="e">
        <f>MONTH($D$5+35)</f>
        <v>#VALUE!</v>
      </c>
      <c r="AY8" s="11" t="e">
        <f>MONTH($D$5+36)</f>
        <v>#VALUE!</v>
      </c>
      <c r="AZ8" s="11" t="e">
        <f>MONTH($D$5+37)</f>
        <v>#VALUE!</v>
      </c>
      <c r="BA8" s="11" t="e">
        <f>MONTH($D$5+38)</f>
        <v>#VALUE!</v>
      </c>
      <c r="BB8" s="11" t="e">
        <f>MONTH($D$5+39)</f>
        <v>#VALUE!</v>
      </c>
      <c r="BC8" s="11" t="e">
        <f>MONTH($D$5+40)</f>
        <v>#VALUE!</v>
      </c>
      <c r="BD8" s="11" t="e">
        <f>MONTH($D$5+41)</f>
        <v>#VALUE!</v>
      </c>
      <c r="BE8" s="11" t="e">
        <f>MONTH($D$5+42)</f>
        <v>#VALUE!</v>
      </c>
      <c r="BF8" s="11" t="e">
        <f>MONTH($D$5+43)</f>
        <v>#VALUE!</v>
      </c>
      <c r="BG8" s="11" t="e">
        <f>MONTH($D$5+44)</f>
        <v>#VALUE!</v>
      </c>
      <c r="BH8" s="11" t="e">
        <f>MONTH($D$5+45)</f>
        <v>#VALUE!</v>
      </c>
      <c r="BI8" s="11" t="e">
        <f>MONTH($D$5+46)</f>
        <v>#VALUE!</v>
      </c>
      <c r="BJ8" s="11" t="e">
        <f>MONTH($D$5+47)</f>
        <v>#VALUE!</v>
      </c>
      <c r="BK8" s="11" t="e">
        <f>MONTH($D$5+48)</f>
        <v>#VALUE!</v>
      </c>
      <c r="BL8" s="11" t="e">
        <f>MONTH($D$5+49)</f>
        <v>#VALUE!</v>
      </c>
      <c r="BM8" s="11" t="e">
        <f>MONTH($D$5+50)</f>
        <v>#VALUE!</v>
      </c>
      <c r="BN8" s="11" t="e">
        <f>MONTH($D$5+51)</f>
        <v>#VALUE!</v>
      </c>
      <c r="BO8" s="11" t="e">
        <f>MONTH($D$5+52)</f>
        <v>#VALUE!</v>
      </c>
      <c r="BP8" s="11" t="e">
        <f>MONTH($D$5+53)</f>
        <v>#VALUE!</v>
      </c>
      <c r="BQ8" s="11" t="e">
        <f>MONTH($D$5+54)</f>
        <v>#VALUE!</v>
      </c>
      <c r="BR8" s="11" t="e">
        <f>MONTH($D$5+55)</f>
        <v>#VALUE!</v>
      </c>
      <c r="BS8" s="11" t="e">
        <f>MONTH($D$5+56)</f>
        <v>#VALUE!</v>
      </c>
      <c r="BT8" s="11" t="e">
        <f>MONTH($D$5+57)</f>
        <v>#VALUE!</v>
      </c>
      <c r="BU8" s="11" t="e">
        <f>MONTH($D$5+58)</f>
        <v>#VALUE!</v>
      </c>
      <c r="BV8" s="11" t="e">
        <f>MONTH($D$5+59)</f>
        <v>#VALUE!</v>
      </c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J8" s="20"/>
      <c r="CL8" s="4"/>
    </row>
    <row r="9" spans="1:98" ht="15" hidden="1" thickBot="1" x14ac:dyDescent="0.2">
      <c r="A9" s="7"/>
      <c r="B9" s="40"/>
      <c r="C9" s="40"/>
      <c r="D9" s="40"/>
      <c r="E9" s="40"/>
      <c r="F9" s="7"/>
      <c r="G9" s="7"/>
      <c r="H9" s="7"/>
      <c r="I9" s="8"/>
      <c r="J9" s="8"/>
      <c r="K9" s="8"/>
      <c r="L9" s="8"/>
      <c r="M9" s="8"/>
      <c r="N9" s="8"/>
      <c r="O9" s="15" t="e">
        <f>DATE(O7,O8,O11)</f>
        <v>#VALUE!</v>
      </c>
      <c r="P9" s="15" t="e">
        <f t="shared" ref="P9:BV9" si="1">DATE(P7,P8,P11)</f>
        <v>#VALUE!</v>
      </c>
      <c r="Q9" s="15" t="e">
        <f t="shared" si="1"/>
        <v>#VALUE!</v>
      </c>
      <c r="R9" s="15" t="e">
        <f t="shared" si="1"/>
        <v>#VALUE!</v>
      </c>
      <c r="S9" s="15" t="e">
        <f t="shared" si="1"/>
        <v>#VALUE!</v>
      </c>
      <c r="T9" s="15" t="e">
        <f t="shared" si="1"/>
        <v>#VALUE!</v>
      </c>
      <c r="U9" s="15" t="e">
        <f t="shared" si="1"/>
        <v>#VALUE!</v>
      </c>
      <c r="V9" s="15" t="e">
        <f t="shared" si="1"/>
        <v>#VALUE!</v>
      </c>
      <c r="W9" s="15" t="e">
        <f t="shared" si="1"/>
        <v>#VALUE!</v>
      </c>
      <c r="X9" s="15" t="e">
        <f t="shared" si="1"/>
        <v>#VALUE!</v>
      </c>
      <c r="Y9" s="15" t="e">
        <f t="shared" si="1"/>
        <v>#VALUE!</v>
      </c>
      <c r="Z9" s="15" t="e">
        <f t="shared" si="1"/>
        <v>#VALUE!</v>
      </c>
      <c r="AA9" s="15" t="e">
        <f t="shared" si="1"/>
        <v>#VALUE!</v>
      </c>
      <c r="AB9" s="15" t="e">
        <f t="shared" si="1"/>
        <v>#VALUE!</v>
      </c>
      <c r="AC9" s="15" t="e">
        <f t="shared" si="1"/>
        <v>#VALUE!</v>
      </c>
      <c r="AD9" s="15" t="e">
        <f t="shared" si="1"/>
        <v>#VALUE!</v>
      </c>
      <c r="AE9" s="15" t="e">
        <f t="shared" si="1"/>
        <v>#VALUE!</v>
      </c>
      <c r="AF9" s="15" t="e">
        <f t="shared" si="1"/>
        <v>#VALUE!</v>
      </c>
      <c r="AG9" s="15" t="e">
        <f t="shared" si="1"/>
        <v>#VALUE!</v>
      </c>
      <c r="AH9" s="15" t="e">
        <f t="shared" si="1"/>
        <v>#VALUE!</v>
      </c>
      <c r="AI9" s="15" t="e">
        <f t="shared" si="1"/>
        <v>#VALUE!</v>
      </c>
      <c r="AJ9" s="15" t="e">
        <f t="shared" si="1"/>
        <v>#VALUE!</v>
      </c>
      <c r="AK9" s="15" t="e">
        <f t="shared" si="1"/>
        <v>#VALUE!</v>
      </c>
      <c r="AL9" s="15" t="e">
        <f t="shared" si="1"/>
        <v>#VALUE!</v>
      </c>
      <c r="AM9" s="15" t="e">
        <f t="shared" si="1"/>
        <v>#VALUE!</v>
      </c>
      <c r="AN9" s="15" t="e">
        <f t="shared" si="1"/>
        <v>#VALUE!</v>
      </c>
      <c r="AO9" s="15" t="e">
        <f t="shared" si="1"/>
        <v>#VALUE!</v>
      </c>
      <c r="AP9" s="15" t="e">
        <f t="shared" si="1"/>
        <v>#VALUE!</v>
      </c>
      <c r="AQ9" s="15" t="e">
        <f t="shared" si="1"/>
        <v>#VALUE!</v>
      </c>
      <c r="AR9" s="15" t="e">
        <f t="shared" si="1"/>
        <v>#VALUE!</v>
      </c>
      <c r="AS9" s="15" t="e">
        <f t="shared" si="1"/>
        <v>#VALUE!</v>
      </c>
      <c r="AT9" s="15" t="e">
        <f t="shared" si="1"/>
        <v>#VALUE!</v>
      </c>
      <c r="AU9" s="15" t="e">
        <f t="shared" si="1"/>
        <v>#VALUE!</v>
      </c>
      <c r="AV9" s="15" t="e">
        <f t="shared" si="1"/>
        <v>#VALUE!</v>
      </c>
      <c r="AW9" s="15" t="e">
        <f t="shared" si="1"/>
        <v>#VALUE!</v>
      </c>
      <c r="AX9" s="15" t="e">
        <f t="shared" si="1"/>
        <v>#VALUE!</v>
      </c>
      <c r="AY9" s="15" t="e">
        <f t="shared" si="1"/>
        <v>#VALUE!</v>
      </c>
      <c r="AZ9" s="15" t="e">
        <f t="shared" si="1"/>
        <v>#VALUE!</v>
      </c>
      <c r="BA9" s="15" t="e">
        <f t="shared" si="1"/>
        <v>#VALUE!</v>
      </c>
      <c r="BB9" s="15" t="e">
        <f t="shared" si="1"/>
        <v>#VALUE!</v>
      </c>
      <c r="BC9" s="15" t="e">
        <f t="shared" si="1"/>
        <v>#VALUE!</v>
      </c>
      <c r="BD9" s="15" t="e">
        <f t="shared" si="1"/>
        <v>#VALUE!</v>
      </c>
      <c r="BE9" s="15" t="e">
        <f t="shared" si="1"/>
        <v>#VALUE!</v>
      </c>
      <c r="BF9" s="15" t="e">
        <f t="shared" si="1"/>
        <v>#VALUE!</v>
      </c>
      <c r="BG9" s="15" t="e">
        <f t="shared" si="1"/>
        <v>#VALUE!</v>
      </c>
      <c r="BH9" s="15" t="e">
        <f t="shared" si="1"/>
        <v>#VALUE!</v>
      </c>
      <c r="BI9" s="15" t="e">
        <f t="shared" si="1"/>
        <v>#VALUE!</v>
      </c>
      <c r="BJ9" s="15" t="e">
        <f t="shared" si="1"/>
        <v>#VALUE!</v>
      </c>
      <c r="BK9" s="15" t="e">
        <f t="shared" si="1"/>
        <v>#VALUE!</v>
      </c>
      <c r="BL9" s="15" t="e">
        <f t="shared" si="1"/>
        <v>#VALUE!</v>
      </c>
      <c r="BM9" s="15" t="e">
        <f t="shared" si="1"/>
        <v>#VALUE!</v>
      </c>
      <c r="BN9" s="15" t="e">
        <f t="shared" si="1"/>
        <v>#VALUE!</v>
      </c>
      <c r="BO9" s="15" t="e">
        <f t="shared" si="1"/>
        <v>#VALUE!</v>
      </c>
      <c r="BP9" s="15" t="e">
        <f t="shared" si="1"/>
        <v>#VALUE!</v>
      </c>
      <c r="BQ9" s="15" t="e">
        <f t="shared" si="1"/>
        <v>#VALUE!</v>
      </c>
      <c r="BR9" s="15" t="e">
        <f t="shared" si="1"/>
        <v>#VALUE!</v>
      </c>
      <c r="BS9" s="15" t="e">
        <f t="shared" si="1"/>
        <v>#VALUE!</v>
      </c>
      <c r="BT9" s="15" t="e">
        <f t="shared" si="1"/>
        <v>#VALUE!</v>
      </c>
      <c r="BU9" s="15" t="e">
        <f t="shared" si="1"/>
        <v>#VALUE!</v>
      </c>
      <c r="BV9" s="15" t="e">
        <f t="shared" si="1"/>
        <v>#VALUE!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J9" s="20"/>
      <c r="CL9" s="4"/>
    </row>
    <row r="10" spans="1:98" ht="14.1" customHeight="1" x14ac:dyDescent="0.15">
      <c r="A10" s="234" t="s">
        <v>1</v>
      </c>
      <c r="B10" s="249" t="s">
        <v>63</v>
      </c>
      <c r="C10" s="250"/>
      <c r="D10" s="249" t="s">
        <v>52</v>
      </c>
      <c r="E10" s="250"/>
      <c r="F10" s="240" t="s">
        <v>16</v>
      </c>
      <c r="G10" s="267"/>
      <c r="H10" s="268"/>
      <c r="I10" s="237" t="s">
        <v>0</v>
      </c>
      <c r="J10" s="240" t="s">
        <v>4</v>
      </c>
      <c r="K10" s="293" t="s">
        <v>20</v>
      </c>
      <c r="L10" s="305"/>
      <c r="M10" s="237" t="s">
        <v>60</v>
      </c>
      <c r="N10" s="289" t="s">
        <v>33</v>
      </c>
      <c r="O10" s="196" t="str">
        <f>IFERROR(" "&amp;MONTH(D5)&amp;"月","")</f>
        <v/>
      </c>
      <c r="P10" s="197" t="str">
        <f>IFERROR(IF(P11=1," "&amp;P8&amp;"月",""),"")</f>
        <v/>
      </c>
      <c r="Q10" s="197" t="str">
        <f t="shared" ref="Q10:BV10" si="2">IFERROR(IF(Q11=1," "&amp;Q8&amp;"月",""),"")</f>
        <v/>
      </c>
      <c r="R10" s="197" t="str">
        <f t="shared" si="2"/>
        <v/>
      </c>
      <c r="S10" s="197" t="str">
        <f t="shared" si="2"/>
        <v/>
      </c>
      <c r="T10" s="197" t="str">
        <f t="shared" si="2"/>
        <v/>
      </c>
      <c r="U10" s="197" t="str">
        <f t="shared" si="2"/>
        <v/>
      </c>
      <c r="V10" s="197" t="str">
        <f t="shared" si="2"/>
        <v/>
      </c>
      <c r="W10" s="197" t="str">
        <f t="shared" si="2"/>
        <v/>
      </c>
      <c r="X10" s="197" t="str">
        <f t="shared" si="2"/>
        <v/>
      </c>
      <c r="Y10" s="197" t="str">
        <f t="shared" si="2"/>
        <v/>
      </c>
      <c r="Z10" s="197" t="str">
        <f t="shared" si="2"/>
        <v/>
      </c>
      <c r="AA10" s="197" t="str">
        <f t="shared" si="2"/>
        <v/>
      </c>
      <c r="AB10" s="197" t="str">
        <f t="shared" si="2"/>
        <v/>
      </c>
      <c r="AC10" s="197" t="str">
        <f t="shared" si="2"/>
        <v/>
      </c>
      <c r="AD10" s="197" t="str">
        <f t="shared" si="2"/>
        <v/>
      </c>
      <c r="AE10" s="197" t="str">
        <f t="shared" si="2"/>
        <v/>
      </c>
      <c r="AF10" s="197" t="str">
        <f t="shared" si="2"/>
        <v/>
      </c>
      <c r="AG10" s="197" t="str">
        <f t="shared" si="2"/>
        <v/>
      </c>
      <c r="AH10" s="197" t="str">
        <f t="shared" si="2"/>
        <v/>
      </c>
      <c r="AI10" s="197" t="str">
        <f t="shared" si="2"/>
        <v/>
      </c>
      <c r="AJ10" s="197" t="str">
        <f t="shared" si="2"/>
        <v/>
      </c>
      <c r="AK10" s="197" t="str">
        <f t="shared" si="2"/>
        <v/>
      </c>
      <c r="AL10" s="197" t="str">
        <f t="shared" si="2"/>
        <v/>
      </c>
      <c r="AM10" s="197" t="str">
        <f t="shared" si="2"/>
        <v/>
      </c>
      <c r="AN10" s="197" t="str">
        <f t="shared" si="2"/>
        <v/>
      </c>
      <c r="AO10" s="197" t="str">
        <f t="shared" si="2"/>
        <v/>
      </c>
      <c r="AP10" s="197" t="str">
        <f t="shared" si="2"/>
        <v/>
      </c>
      <c r="AQ10" s="197" t="str">
        <f t="shared" si="2"/>
        <v/>
      </c>
      <c r="AR10" s="197" t="str">
        <f t="shared" si="2"/>
        <v/>
      </c>
      <c r="AS10" s="197" t="str">
        <f t="shared" si="2"/>
        <v/>
      </c>
      <c r="AT10" s="197" t="str">
        <f t="shared" si="2"/>
        <v/>
      </c>
      <c r="AU10" s="197" t="str">
        <f t="shared" si="2"/>
        <v/>
      </c>
      <c r="AV10" s="197" t="str">
        <f t="shared" si="2"/>
        <v/>
      </c>
      <c r="AW10" s="197" t="str">
        <f t="shared" si="2"/>
        <v/>
      </c>
      <c r="AX10" s="197" t="str">
        <f t="shared" si="2"/>
        <v/>
      </c>
      <c r="AY10" s="197" t="str">
        <f t="shared" si="2"/>
        <v/>
      </c>
      <c r="AZ10" s="197" t="str">
        <f t="shared" si="2"/>
        <v/>
      </c>
      <c r="BA10" s="197" t="str">
        <f t="shared" si="2"/>
        <v/>
      </c>
      <c r="BB10" s="197" t="str">
        <f t="shared" si="2"/>
        <v/>
      </c>
      <c r="BC10" s="197" t="str">
        <f t="shared" si="2"/>
        <v/>
      </c>
      <c r="BD10" s="197" t="str">
        <f t="shared" si="2"/>
        <v/>
      </c>
      <c r="BE10" s="197" t="str">
        <f t="shared" si="2"/>
        <v/>
      </c>
      <c r="BF10" s="197" t="str">
        <f t="shared" si="2"/>
        <v/>
      </c>
      <c r="BG10" s="197" t="str">
        <f t="shared" si="2"/>
        <v/>
      </c>
      <c r="BH10" s="197" t="str">
        <f t="shared" si="2"/>
        <v/>
      </c>
      <c r="BI10" s="197" t="str">
        <f t="shared" si="2"/>
        <v/>
      </c>
      <c r="BJ10" s="197" t="str">
        <f t="shared" si="2"/>
        <v/>
      </c>
      <c r="BK10" s="197" t="str">
        <f t="shared" si="2"/>
        <v/>
      </c>
      <c r="BL10" s="197" t="str">
        <f t="shared" si="2"/>
        <v/>
      </c>
      <c r="BM10" s="197" t="str">
        <f t="shared" si="2"/>
        <v/>
      </c>
      <c r="BN10" s="197" t="str">
        <f t="shared" si="2"/>
        <v/>
      </c>
      <c r="BO10" s="197" t="str">
        <f t="shared" si="2"/>
        <v/>
      </c>
      <c r="BP10" s="197" t="str">
        <f t="shared" si="2"/>
        <v/>
      </c>
      <c r="BQ10" s="197" t="str">
        <f t="shared" si="2"/>
        <v/>
      </c>
      <c r="BR10" s="197" t="str">
        <f t="shared" si="2"/>
        <v/>
      </c>
      <c r="BS10" s="197" t="str">
        <f t="shared" si="2"/>
        <v/>
      </c>
      <c r="BT10" s="197" t="str">
        <f t="shared" si="2"/>
        <v/>
      </c>
      <c r="BU10" s="197" t="str">
        <f t="shared" si="2"/>
        <v/>
      </c>
      <c r="BV10" s="197" t="str">
        <f t="shared" si="2"/>
        <v/>
      </c>
      <c r="BW10" s="276" t="s">
        <v>9</v>
      </c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8"/>
      <c r="CI10" s="5"/>
      <c r="CJ10" s="29"/>
      <c r="CK10" s="5"/>
      <c r="CN10" s="166" t="str">
        <f>IF(C3&lt;&gt;"新型コロナウイルス感染症","入力内容から発生人数を算出しています。WEB報告の参考としてください。","")</f>
        <v>入力内容から発生人数を算出しています。WEB報告の参考としてください。</v>
      </c>
    </row>
    <row r="11" spans="1:98" ht="14.1" customHeight="1" x14ac:dyDescent="0.15">
      <c r="A11" s="235"/>
      <c r="B11" s="251"/>
      <c r="C11" s="252"/>
      <c r="D11" s="251"/>
      <c r="E11" s="252"/>
      <c r="F11" s="241"/>
      <c r="G11" s="269"/>
      <c r="H11" s="270"/>
      <c r="I11" s="238"/>
      <c r="J11" s="241"/>
      <c r="K11" s="296" t="s">
        <v>5</v>
      </c>
      <c r="L11" s="296" t="s">
        <v>19</v>
      </c>
      <c r="M11" s="238"/>
      <c r="N11" s="290"/>
      <c r="O11" s="198" t="str">
        <f>IFERROR(DAY($D$5),"")</f>
        <v/>
      </c>
      <c r="P11" s="199" t="str">
        <f>IFERROR(DAY($D$5+1),"")</f>
        <v/>
      </c>
      <c r="Q11" s="199" t="str">
        <f>IFERROR(DAY($D$5+2),"")</f>
        <v/>
      </c>
      <c r="R11" s="199" t="str">
        <f>IFERROR(DAY($D$5+3),"")</f>
        <v/>
      </c>
      <c r="S11" s="199" t="str">
        <f>IFERROR(DAY($D$5+4),"")</f>
        <v/>
      </c>
      <c r="T11" s="199" t="str">
        <f>IFERROR(DAY($D$5+5),"")</f>
        <v/>
      </c>
      <c r="U11" s="199" t="str">
        <f>IFERROR(DAY($D$5+6),"")</f>
        <v/>
      </c>
      <c r="V11" s="199" t="str">
        <f>IFERROR(DAY($D$5+7),"")</f>
        <v/>
      </c>
      <c r="W11" s="199" t="str">
        <f>IFERROR(DAY($D$5+8),"")</f>
        <v/>
      </c>
      <c r="X11" s="199" t="str">
        <f>IFERROR(DAY($D$5+9),"")</f>
        <v/>
      </c>
      <c r="Y11" s="199" t="str">
        <f>IFERROR(DAY($D$5+10),"")</f>
        <v/>
      </c>
      <c r="Z11" s="199" t="str">
        <f>IFERROR(DAY($D$5+11),"")</f>
        <v/>
      </c>
      <c r="AA11" s="199" t="str">
        <f>IFERROR(DAY($D$5+12),"")</f>
        <v/>
      </c>
      <c r="AB11" s="199" t="str">
        <f>IFERROR(DAY($D$5+13),"")</f>
        <v/>
      </c>
      <c r="AC11" s="199" t="str">
        <f>IFERROR(DAY($D$5+14),"")</f>
        <v/>
      </c>
      <c r="AD11" s="199" t="str">
        <f>IFERROR(DAY($D$5+15),"")</f>
        <v/>
      </c>
      <c r="AE11" s="199" t="str">
        <f>IFERROR(DAY($D$5+16),"")</f>
        <v/>
      </c>
      <c r="AF11" s="199" t="str">
        <f>IFERROR(DAY($D$5+17),"")</f>
        <v/>
      </c>
      <c r="AG11" s="199" t="str">
        <f>IFERROR(DAY($D$5+18),"")</f>
        <v/>
      </c>
      <c r="AH11" s="199" t="str">
        <f>IFERROR(DAY($D$5+19),"")</f>
        <v/>
      </c>
      <c r="AI11" s="199" t="str">
        <f>IFERROR(DAY($D$5+20),"")</f>
        <v/>
      </c>
      <c r="AJ11" s="199" t="str">
        <f>IFERROR(DAY($D$5+21),"")</f>
        <v/>
      </c>
      <c r="AK11" s="199" t="str">
        <f>IFERROR(DAY($D$5+22),"")</f>
        <v/>
      </c>
      <c r="AL11" s="199" t="str">
        <f>IFERROR(DAY($D$5+23),"")</f>
        <v/>
      </c>
      <c r="AM11" s="199" t="str">
        <f>IFERROR(DAY($D$5+24),"")</f>
        <v/>
      </c>
      <c r="AN11" s="199" t="str">
        <f>IFERROR(DAY($D$5+25),"")</f>
        <v/>
      </c>
      <c r="AO11" s="199" t="str">
        <f>IFERROR(DAY($D$5+26),"")</f>
        <v/>
      </c>
      <c r="AP11" s="199" t="str">
        <f>IFERROR(DAY($D$5+27),"")</f>
        <v/>
      </c>
      <c r="AQ11" s="199" t="str">
        <f>IFERROR(DAY($D$5+28),"")</f>
        <v/>
      </c>
      <c r="AR11" s="199" t="str">
        <f>IFERROR(DAY($D$5+29),"")</f>
        <v/>
      </c>
      <c r="AS11" s="199" t="str">
        <f>IFERROR(DAY($D$5+30),"")</f>
        <v/>
      </c>
      <c r="AT11" s="199" t="str">
        <f>IFERROR(DAY($D$5+31),"")</f>
        <v/>
      </c>
      <c r="AU11" s="199" t="str">
        <f>IFERROR(DAY($D$5+32),"")</f>
        <v/>
      </c>
      <c r="AV11" s="199" t="str">
        <f>IFERROR(DAY($D$5+33),"")</f>
        <v/>
      </c>
      <c r="AW11" s="199" t="str">
        <f>IFERROR(DAY($D$5+34),"")</f>
        <v/>
      </c>
      <c r="AX11" s="199" t="str">
        <f>IFERROR(DAY($D$5+35),"")</f>
        <v/>
      </c>
      <c r="AY11" s="199" t="str">
        <f>IFERROR(DAY($D$5+36),"")</f>
        <v/>
      </c>
      <c r="AZ11" s="199" t="str">
        <f>IFERROR(DAY($D$5+37),"")</f>
        <v/>
      </c>
      <c r="BA11" s="199" t="str">
        <f>IFERROR(DAY($D$5+38),"")</f>
        <v/>
      </c>
      <c r="BB11" s="199" t="str">
        <f>IFERROR(DAY($D$5+39),"")</f>
        <v/>
      </c>
      <c r="BC11" s="199" t="str">
        <f>IFERROR(DAY($D$5+40),"")</f>
        <v/>
      </c>
      <c r="BD11" s="199" t="str">
        <f>IFERROR(DAY($D$5+41),"")</f>
        <v/>
      </c>
      <c r="BE11" s="199" t="str">
        <f>IFERROR(DAY($D$5+42),"")</f>
        <v/>
      </c>
      <c r="BF11" s="199" t="str">
        <f>IFERROR(DAY($D$5+43),"")</f>
        <v/>
      </c>
      <c r="BG11" s="199" t="str">
        <f>IFERROR(DAY($D$5+44),"")</f>
        <v/>
      </c>
      <c r="BH11" s="199" t="str">
        <f>IFERROR(DAY($D$5+45),"")</f>
        <v/>
      </c>
      <c r="BI11" s="199" t="str">
        <f>IFERROR(DAY($D$5+46),"")</f>
        <v/>
      </c>
      <c r="BJ11" s="199" t="str">
        <f>IFERROR(DAY($D$5+47),"")</f>
        <v/>
      </c>
      <c r="BK11" s="199" t="str">
        <f>IFERROR(DAY($D$5+48),"")</f>
        <v/>
      </c>
      <c r="BL11" s="199" t="str">
        <f>IFERROR(DAY($D$5+49),"")</f>
        <v/>
      </c>
      <c r="BM11" s="199" t="str">
        <f>IFERROR(DAY($D$5+50),"")</f>
        <v/>
      </c>
      <c r="BN11" s="199" t="str">
        <f>IFERROR(DAY($D$5+51),"")</f>
        <v/>
      </c>
      <c r="BO11" s="199" t="str">
        <f>IFERROR(DAY($D$5+52),"")</f>
        <v/>
      </c>
      <c r="BP11" s="199" t="str">
        <f>IFERROR(DAY($D$5+53),"")</f>
        <v/>
      </c>
      <c r="BQ11" s="199" t="str">
        <f>IFERROR(DAY($D$5+54),"")</f>
        <v/>
      </c>
      <c r="BR11" s="199" t="str">
        <f>IFERROR(DAY($D$5+55),"")</f>
        <v/>
      </c>
      <c r="BS11" s="199" t="str">
        <f>IFERROR(DAY($D$5+56),"")</f>
        <v/>
      </c>
      <c r="BT11" s="199" t="str">
        <f>IFERROR(DAY($D$5+57),"")</f>
        <v/>
      </c>
      <c r="BU11" s="199" t="str">
        <f>IFERROR(DAY($D$5+58),"")</f>
        <v/>
      </c>
      <c r="BV11" s="211" t="str">
        <f>IFERROR(DAY($D$5+59),"")</f>
        <v/>
      </c>
      <c r="BW11" s="279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1"/>
      <c r="CI11" s="5"/>
      <c r="CJ11" s="29"/>
      <c r="CK11" s="5"/>
      <c r="CL11" s="1">
        <f>MAX('記載様式（入院患者）'!CN:CN)</f>
        <v>0</v>
      </c>
      <c r="CN11" s="166" t="str">
        <f>IF(C3&lt;&gt;"新型コロナウイルス感染症","○病棟別の有症状者数（累計）","")</f>
        <v>○病棟別の有症状者数（累計）</v>
      </c>
      <c r="CR11" s="166" t="str">
        <f>IF(C3&lt;&gt;"新型コロナウイルス感染症","○死亡者数","")</f>
        <v>○死亡者数</v>
      </c>
    </row>
    <row r="12" spans="1:98" ht="14.1" customHeight="1" thickBot="1" x14ac:dyDescent="0.2">
      <c r="A12" s="236"/>
      <c r="B12" s="253"/>
      <c r="C12" s="254"/>
      <c r="D12" s="253"/>
      <c r="E12" s="254"/>
      <c r="F12" s="242"/>
      <c r="G12" s="271"/>
      <c r="H12" s="272"/>
      <c r="I12" s="239"/>
      <c r="J12" s="242"/>
      <c r="K12" s="242"/>
      <c r="L12" s="242"/>
      <c r="M12" s="239"/>
      <c r="N12" s="291"/>
      <c r="O12" s="201" t="str">
        <f>IFERROR(TEXT(O9,"aaa"),"")</f>
        <v/>
      </c>
      <c r="P12" s="202" t="str">
        <f>IFERROR(TEXT(P9,"aaa"),"")</f>
        <v/>
      </c>
      <c r="Q12" s="202" t="str">
        <f t="shared" ref="Q12:BV12" si="3">IFERROR(TEXT(Q9,"aaa"),"")</f>
        <v/>
      </c>
      <c r="R12" s="202" t="str">
        <f t="shared" si="3"/>
        <v/>
      </c>
      <c r="S12" s="202" t="str">
        <f t="shared" si="3"/>
        <v/>
      </c>
      <c r="T12" s="202" t="str">
        <f t="shared" si="3"/>
        <v/>
      </c>
      <c r="U12" s="202" t="str">
        <f t="shared" si="3"/>
        <v/>
      </c>
      <c r="V12" s="202" t="str">
        <f t="shared" si="3"/>
        <v/>
      </c>
      <c r="W12" s="202" t="str">
        <f t="shared" si="3"/>
        <v/>
      </c>
      <c r="X12" s="202" t="str">
        <f t="shared" si="3"/>
        <v/>
      </c>
      <c r="Y12" s="202" t="str">
        <f t="shared" si="3"/>
        <v/>
      </c>
      <c r="Z12" s="202" t="str">
        <f t="shared" si="3"/>
        <v/>
      </c>
      <c r="AA12" s="202" t="str">
        <f t="shared" si="3"/>
        <v/>
      </c>
      <c r="AB12" s="202" t="str">
        <f t="shared" si="3"/>
        <v/>
      </c>
      <c r="AC12" s="202" t="str">
        <f t="shared" si="3"/>
        <v/>
      </c>
      <c r="AD12" s="202" t="str">
        <f t="shared" si="3"/>
        <v/>
      </c>
      <c r="AE12" s="202" t="str">
        <f t="shared" si="3"/>
        <v/>
      </c>
      <c r="AF12" s="202" t="str">
        <f t="shared" si="3"/>
        <v/>
      </c>
      <c r="AG12" s="202" t="str">
        <f t="shared" si="3"/>
        <v/>
      </c>
      <c r="AH12" s="202" t="str">
        <f t="shared" si="3"/>
        <v/>
      </c>
      <c r="AI12" s="202" t="str">
        <f t="shared" si="3"/>
        <v/>
      </c>
      <c r="AJ12" s="202" t="str">
        <f t="shared" si="3"/>
        <v/>
      </c>
      <c r="AK12" s="202" t="str">
        <f t="shared" si="3"/>
        <v/>
      </c>
      <c r="AL12" s="202" t="str">
        <f t="shared" si="3"/>
        <v/>
      </c>
      <c r="AM12" s="202" t="str">
        <f t="shared" si="3"/>
        <v/>
      </c>
      <c r="AN12" s="202" t="str">
        <f t="shared" si="3"/>
        <v/>
      </c>
      <c r="AO12" s="202" t="str">
        <f t="shared" si="3"/>
        <v/>
      </c>
      <c r="AP12" s="202" t="str">
        <f t="shared" si="3"/>
        <v/>
      </c>
      <c r="AQ12" s="202" t="str">
        <f t="shared" si="3"/>
        <v/>
      </c>
      <c r="AR12" s="202" t="str">
        <f t="shared" si="3"/>
        <v/>
      </c>
      <c r="AS12" s="202" t="str">
        <f t="shared" si="3"/>
        <v/>
      </c>
      <c r="AT12" s="202" t="str">
        <f t="shared" si="3"/>
        <v/>
      </c>
      <c r="AU12" s="202" t="str">
        <f t="shared" si="3"/>
        <v/>
      </c>
      <c r="AV12" s="202" t="str">
        <f t="shared" si="3"/>
        <v/>
      </c>
      <c r="AW12" s="202" t="str">
        <f t="shared" si="3"/>
        <v/>
      </c>
      <c r="AX12" s="202" t="str">
        <f t="shared" si="3"/>
        <v/>
      </c>
      <c r="AY12" s="202" t="str">
        <f t="shared" si="3"/>
        <v/>
      </c>
      <c r="AZ12" s="202" t="str">
        <f t="shared" si="3"/>
        <v/>
      </c>
      <c r="BA12" s="202" t="str">
        <f t="shared" si="3"/>
        <v/>
      </c>
      <c r="BB12" s="202" t="str">
        <f t="shared" si="3"/>
        <v/>
      </c>
      <c r="BC12" s="202" t="str">
        <f t="shared" si="3"/>
        <v/>
      </c>
      <c r="BD12" s="202" t="str">
        <f t="shared" si="3"/>
        <v/>
      </c>
      <c r="BE12" s="202" t="str">
        <f t="shared" si="3"/>
        <v/>
      </c>
      <c r="BF12" s="202" t="str">
        <f t="shared" si="3"/>
        <v/>
      </c>
      <c r="BG12" s="202" t="str">
        <f t="shared" si="3"/>
        <v/>
      </c>
      <c r="BH12" s="202" t="str">
        <f t="shared" si="3"/>
        <v/>
      </c>
      <c r="BI12" s="202" t="str">
        <f t="shared" si="3"/>
        <v/>
      </c>
      <c r="BJ12" s="202" t="str">
        <f t="shared" si="3"/>
        <v/>
      </c>
      <c r="BK12" s="202" t="str">
        <f t="shared" si="3"/>
        <v/>
      </c>
      <c r="BL12" s="202" t="str">
        <f t="shared" si="3"/>
        <v/>
      </c>
      <c r="BM12" s="202" t="str">
        <f t="shared" si="3"/>
        <v/>
      </c>
      <c r="BN12" s="202" t="str">
        <f t="shared" si="3"/>
        <v/>
      </c>
      <c r="BO12" s="202" t="str">
        <f t="shared" si="3"/>
        <v/>
      </c>
      <c r="BP12" s="202" t="str">
        <f t="shared" si="3"/>
        <v/>
      </c>
      <c r="BQ12" s="202" t="str">
        <f t="shared" si="3"/>
        <v/>
      </c>
      <c r="BR12" s="202" t="str">
        <f t="shared" si="3"/>
        <v/>
      </c>
      <c r="BS12" s="202" t="str">
        <f t="shared" si="3"/>
        <v/>
      </c>
      <c r="BT12" s="202" t="str">
        <f t="shared" si="3"/>
        <v/>
      </c>
      <c r="BU12" s="202" t="str">
        <f t="shared" si="3"/>
        <v/>
      </c>
      <c r="BV12" s="202" t="str">
        <f t="shared" si="3"/>
        <v/>
      </c>
      <c r="BW12" s="282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4"/>
      <c r="CI12" s="38" t="s">
        <v>36</v>
      </c>
      <c r="CJ12" s="39" t="s">
        <v>37</v>
      </c>
      <c r="CK12" s="263" t="s">
        <v>38</v>
      </c>
      <c r="CL12" s="263"/>
      <c r="CO12" s="203" t="str">
        <f>IF(C3&lt;&gt;"新型コロナウイルス感染症","利用者","")</f>
        <v>利用者</v>
      </c>
      <c r="CP12" s="203" t="str">
        <f>IF(C3&lt;&gt;"新型コロナウイルス感染症","職員","")</f>
        <v>職員</v>
      </c>
      <c r="CS12" s="203" t="str">
        <f>IF(C3&lt;&gt;"新型コロナウイルス感染症","利用者","")</f>
        <v>利用者</v>
      </c>
      <c r="CT12" s="203" t="str">
        <f>IF(C3&lt;&gt;"新型コロナウイルス感染症","職員","")</f>
        <v>職員</v>
      </c>
    </row>
    <row r="13" spans="1:98" ht="15" customHeight="1" x14ac:dyDescent="0.15">
      <c r="A13" s="85" t="str">
        <f>IF(B13="","","1")</f>
        <v/>
      </c>
      <c r="B13" s="255"/>
      <c r="C13" s="256"/>
      <c r="D13" s="255"/>
      <c r="E13" s="256"/>
      <c r="F13" s="302"/>
      <c r="G13" s="303"/>
      <c r="H13" s="304"/>
      <c r="I13" s="147"/>
      <c r="J13" s="148"/>
      <c r="K13" s="149"/>
      <c r="L13" s="150"/>
      <c r="M13" s="151"/>
      <c r="N13" s="91"/>
      <c r="O13" s="226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22"/>
      <c r="BW13" s="97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9"/>
      <c r="CI13" s="6" t="b">
        <f>COUNTIF(O13:BV13,"○")&gt;0</f>
        <v>0</v>
      </c>
      <c r="CJ13" s="24" t="str">
        <f t="shared" ref="CJ13:CJ44" ca="1" si="4">IFERROR(OFFSET($O$9,0,MATCH("○",O13:BV13,0)-1,1,1),"")</f>
        <v/>
      </c>
      <c r="CK13" s="5">
        <f>IF(COUNTIF($B$13:B13,B13)+COUNTIF('記載様式（入院患者）'!$CR$13:$CR$22,B13)=1,1,0)</f>
        <v>0</v>
      </c>
      <c r="CL13" s="1">
        <f>SUM($CK$13:CK13)+$CL$11</f>
        <v>0</v>
      </c>
      <c r="CN13" s="203" t="str">
        <f>IF('記載様式（入院患者）'!CT13="","",'記載様式（入院患者）'!CT13)</f>
        <v/>
      </c>
      <c r="CO13" s="166" t="str">
        <f>IF(AND(C3&lt;&gt;"新型コロナウイルス感染症",CN13&lt;&gt;""),'記載様式（入院患者）'!CU13,"")</f>
        <v/>
      </c>
      <c r="CP13" s="166" t="str">
        <f t="shared" ref="CP13:CP22" si="5">IF(AND(C3&lt;&gt;"新型コロナウイルス感染症",CN13&lt;&gt;""),COUNTIFS(B:B,CN13,CI:CI,TRUE),"")</f>
        <v/>
      </c>
      <c r="CR13" s="166" t="str">
        <f>IF(C3&lt;&gt;"新型コロナウイルス感染症","死亡者数（累計）","")</f>
        <v>死亡者数（累計）</v>
      </c>
      <c r="CS13" s="166">
        <f>IF(C4&lt;&gt;"新型コロナウイルス感染症",'記載様式（入院患者）'!CY13,"")</f>
        <v>0</v>
      </c>
      <c r="CT13" s="203" t="str">
        <f>IF($C$3&lt;&gt;"新型コロナウイルス感染症","ー","")</f>
        <v>ー</v>
      </c>
    </row>
    <row r="14" spans="1:98" ht="15" customHeight="1" x14ac:dyDescent="0.15">
      <c r="A14" s="86" t="str">
        <f>IFERROR(IF(B14="","",A13+1),"")</f>
        <v/>
      </c>
      <c r="B14" s="232"/>
      <c r="C14" s="233"/>
      <c r="D14" s="232"/>
      <c r="E14" s="233"/>
      <c r="F14" s="257"/>
      <c r="G14" s="258"/>
      <c r="H14" s="259"/>
      <c r="I14" s="102"/>
      <c r="J14" s="101"/>
      <c r="K14" s="102"/>
      <c r="L14" s="152"/>
      <c r="M14" s="103"/>
      <c r="N14" s="102"/>
      <c r="O14" s="217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23"/>
      <c r="BW14" s="97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9"/>
      <c r="CI14" s="6" t="b">
        <f t="shared" ref="CI14:CI77" si="6">COUNTIF(O14:BV14,"○")&gt;0</f>
        <v>0</v>
      </c>
      <c r="CJ14" s="24" t="str">
        <f t="shared" ca="1" si="4"/>
        <v/>
      </c>
      <c r="CK14" s="5">
        <f>IF(COUNTIF($B$13:B14,B14)+COUNTIF('記載様式（入院患者）'!$CR$13:$CR$22,B14)=1,1,0)</f>
        <v>0</v>
      </c>
      <c r="CL14" s="1">
        <f>SUM($CK$13:CK14)+$CL$11</f>
        <v>0</v>
      </c>
      <c r="CN14" s="203" t="str">
        <f>IF('記載様式（入院患者）'!CT14="","",'記載様式（入院患者）'!CT14)</f>
        <v/>
      </c>
      <c r="CO14" s="166" t="str">
        <f>IF(AND(C4&lt;&gt;"新型コロナウイルス感染症",CN14&lt;&gt;""),'記載様式（入院患者）'!CU14,"")</f>
        <v/>
      </c>
      <c r="CP14" s="166" t="str">
        <f t="shared" si="5"/>
        <v/>
      </c>
    </row>
    <row r="15" spans="1:98" s="2" customFormat="1" ht="15" customHeight="1" x14ac:dyDescent="0.15">
      <c r="A15" s="86" t="str">
        <f t="shared" ref="A15:A78" si="7">IFERROR(IF(B15="","",A14+1),"")</f>
        <v/>
      </c>
      <c r="B15" s="232"/>
      <c r="C15" s="233"/>
      <c r="D15" s="232"/>
      <c r="E15" s="233"/>
      <c r="F15" s="257"/>
      <c r="G15" s="258"/>
      <c r="H15" s="259"/>
      <c r="I15" s="102"/>
      <c r="J15" s="101"/>
      <c r="K15" s="102"/>
      <c r="L15" s="152"/>
      <c r="M15" s="103"/>
      <c r="N15" s="102"/>
      <c r="O15" s="217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23"/>
      <c r="BW15" s="97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9"/>
      <c r="CI15" s="6" t="b">
        <f t="shared" si="6"/>
        <v>0</v>
      </c>
      <c r="CJ15" s="24" t="str">
        <f t="shared" ca="1" si="4"/>
        <v/>
      </c>
      <c r="CK15" s="5">
        <f>IF(COUNTIF($B$13:B15,B15)+COUNTIF('記載様式（入院患者）'!$CR$13:$CR$22,B15)=1,1,0)</f>
        <v>0</v>
      </c>
      <c r="CL15" s="1">
        <f>SUM($CK$13:CK15)+$CL$11</f>
        <v>0</v>
      </c>
      <c r="CM15" s="166"/>
      <c r="CN15" s="203" t="str">
        <f>IF('記載様式（入院患者）'!CT15="","",'記載様式（入院患者）'!CT15)</f>
        <v/>
      </c>
      <c r="CO15" s="166" t="str">
        <f>IF(AND(C5&lt;&gt;"新型コロナウイルス感染症",CN15&lt;&gt;""),'記載様式（入院患者）'!CU15,"")</f>
        <v/>
      </c>
      <c r="CP15" s="166" t="str">
        <f t="shared" si="5"/>
        <v/>
      </c>
      <c r="CQ15" s="166"/>
      <c r="CR15" s="166"/>
      <c r="CS15" s="166"/>
      <c r="CT15" s="166"/>
    </row>
    <row r="16" spans="1:98" s="2" customFormat="1" ht="15" customHeight="1" x14ac:dyDescent="0.15">
      <c r="A16" s="86" t="str">
        <f t="shared" si="7"/>
        <v/>
      </c>
      <c r="B16" s="232"/>
      <c r="C16" s="233"/>
      <c r="D16" s="232"/>
      <c r="E16" s="233"/>
      <c r="F16" s="257"/>
      <c r="G16" s="258"/>
      <c r="H16" s="259"/>
      <c r="I16" s="102"/>
      <c r="J16" s="101"/>
      <c r="K16" s="102"/>
      <c r="L16" s="101"/>
      <c r="M16" s="103"/>
      <c r="N16" s="102"/>
      <c r="O16" s="217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23"/>
      <c r="BW16" s="97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9"/>
      <c r="CI16" s="6" t="b">
        <f t="shared" si="6"/>
        <v>0</v>
      </c>
      <c r="CJ16" s="24" t="str">
        <f t="shared" ca="1" si="4"/>
        <v/>
      </c>
      <c r="CK16" s="5">
        <f>IF(COUNTIF($B$13:B16,B16)+COUNTIF('記載様式（入院患者）'!$CR$13:$CR$22,B16)=1,1,0)</f>
        <v>0</v>
      </c>
      <c r="CL16" s="1">
        <f>SUM($CK$13:CK16)+$CL$11</f>
        <v>0</v>
      </c>
      <c r="CM16" s="166"/>
      <c r="CN16" s="203" t="str">
        <f>IF('記載様式（入院患者）'!CT16="","",'記載様式（入院患者）'!CT16)</f>
        <v/>
      </c>
      <c r="CO16" s="166" t="str">
        <f>IF(AND(C6&lt;&gt;"新型コロナウイルス感染症",CN16&lt;&gt;""),'記載様式（入院患者）'!CU16,"")</f>
        <v/>
      </c>
      <c r="CP16" s="166" t="str">
        <f t="shared" si="5"/>
        <v/>
      </c>
      <c r="CQ16" s="166"/>
      <c r="CR16" s="166"/>
      <c r="CS16" s="166"/>
      <c r="CT16" s="166"/>
    </row>
    <row r="17" spans="1:98" s="2" customFormat="1" ht="15" customHeight="1" x14ac:dyDescent="0.15">
      <c r="A17" s="86" t="str">
        <f t="shared" si="7"/>
        <v/>
      </c>
      <c r="B17" s="232"/>
      <c r="C17" s="233"/>
      <c r="D17" s="232"/>
      <c r="E17" s="233"/>
      <c r="F17" s="257"/>
      <c r="G17" s="258"/>
      <c r="H17" s="259"/>
      <c r="I17" s="102"/>
      <c r="J17" s="101"/>
      <c r="K17" s="102"/>
      <c r="L17" s="152"/>
      <c r="M17" s="103"/>
      <c r="N17" s="102"/>
      <c r="O17" s="217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23"/>
      <c r="BW17" s="97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9"/>
      <c r="CI17" s="6" t="b">
        <f t="shared" si="6"/>
        <v>0</v>
      </c>
      <c r="CJ17" s="24" t="str">
        <f t="shared" ca="1" si="4"/>
        <v/>
      </c>
      <c r="CK17" s="5">
        <f>IF(COUNTIF($B$13:B17,B17)+COUNTIF('記載様式（入院患者）'!$CR$13:$CR$22,B17)=1,1,0)</f>
        <v>0</v>
      </c>
      <c r="CL17" s="1">
        <f>SUM($CK$13:CK17)+$CL$11</f>
        <v>0</v>
      </c>
      <c r="CM17" s="166"/>
      <c r="CN17" s="203" t="str">
        <f>IF('記載様式（入院患者）'!CT17="","",'記載様式（入院患者）'!CT17)</f>
        <v/>
      </c>
      <c r="CO17" s="166" t="str">
        <f>IF(AND(C7&lt;&gt;"新型コロナウイルス感染症",CN17&lt;&gt;""),'記載様式（入院患者）'!CU17,"")</f>
        <v/>
      </c>
      <c r="CP17" s="166" t="str">
        <f t="shared" si="5"/>
        <v/>
      </c>
      <c r="CQ17" s="166"/>
      <c r="CR17" s="166"/>
      <c r="CS17" s="166"/>
      <c r="CT17" s="166"/>
    </row>
    <row r="18" spans="1:98" s="2" customFormat="1" ht="15" customHeight="1" x14ac:dyDescent="0.15">
      <c r="A18" s="86" t="str">
        <f t="shared" si="7"/>
        <v/>
      </c>
      <c r="B18" s="232"/>
      <c r="C18" s="233"/>
      <c r="D18" s="232"/>
      <c r="E18" s="233"/>
      <c r="F18" s="257"/>
      <c r="G18" s="258"/>
      <c r="H18" s="259"/>
      <c r="I18" s="102"/>
      <c r="J18" s="101"/>
      <c r="K18" s="101"/>
      <c r="L18" s="101"/>
      <c r="M18" s="103"/>
      <c r="N18" s="102"/>
      <c r="O18" s="217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23"/>
      <c r="BW18" s="97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9"/>
      <c r="CI18" s="6" t="b">
        <f t="shared" si="6"/>
        <v>0</v>
      </c>
      <c r="CJ18" s="24" t="str">
        <f t="shared" ca="1" si="4"/>
        <v/>
      </c>
      <c r="CK18" s="5">
        <f>IF(COUNTIF($B$13:B18,B18)+COUNTIF('記載様式（入院患者）'!$CR$13:$CR$22,B18)=1,1,0)</f>
        <v>0</v>
      </c>
      <c r="CL18" s="1">
        <f>SUM($CK$13:CK18)+$CL$11</f>
        <v>0</v>
      </c>
      <c r="CM18" s="166"/>
      <c r="CN18" s="203" t="str">
        <f>IF('記載様式（入院患者）'!CT18="","",'記載様式（入院患者）'!CT18)</f>
        <v/>
      </c>
      <c r="CO18" s="166" t="str">
        <f>IF(AND(C8&lt;&gt;"新型コロナウイルス感染症",CN18&lt;&gt;""),'記載様式（入院患者）'!CU18,"")</f>
        <v/>
      </c>
      <c r="CP18" s="166" t="str">
        <f t="shared" si="5"/>
        <v/>
      </c>
      <c r="CQ18" s="166"/>
      <c r="CR18" s="166"/>
      <c r="CS18" s="166"/>
      <c r="CT18" s="166"/>
    </row>
    <row r="19" spans="1:98" s="2" customFormat="1" ht="15" customHeight="1" x14ac:dyDescent="0.15">
      <c r="A19" s="86" t="str">
        <f t="shared" si="7"/>
        <v/>
      </c>
      <c r="B19" s="232"/>
      <c r="C19" s="233"/>
      <c r="D19" s="232"/>
      <c r="E19" s="233"/>
      <c r="F19" s="257"/>
      <c r="G19" s="258"/>
      <c r="H19" s="259"/>
      <c r="I19" s="102"/>
      <c r="J19" s="101"/>
      <c r="K19" s="101"/>
      <c r="L19" s="101"/>
      <c r="M19" s="103"/>
      <c r="N19" s="102"/>
      <c r="O19" s="217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23"/>
      <c r="BW19" s="97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9"/>
      <c r="CI19" s="6" t="b">
        <f t="shared" si="6"/>
        <v>0</v>
      </c>
      <c r="CJ19" s="24" t="str">
        <f t="shared" ca="1" si="4"/>
        <v/>
      </c>
      <c r="CK19" s="5">
        <f>IF(COUNTIF($B$13:B19,B19)+COUNTIF('記載様式（入院患者）'!$CR$13:$CR$22,B19)=1,1,0)</f>
        <v>0</v>
      </c>
      <c r="CL19" s="1">
        <f>SUM($CK$13:CK19)+$CL$11</f>
        <v>0</v>
      </c>
      <c r="CM19" s="166"/>
      <c r="CN19" s="203" t="str">
        <f>IF('記載様式（入院患者）'!CT19="","",'記載様式（入院患者）'!CT19)</f>
        <v/>
      </c>
      <c r="CO19" s="166" t="str">
        <f>IF(AND(C9&lt;&gt;"新型コロナウイルス感染症",CN19&lt;&gt;""),'記載様式（入院患者）'!CU19,"")</f>
        <v/>
      </c>
      <c r="CP19" s="166" t="str">
        <f t="shared" si="5"/>
        <v/>
      </c>
      <c r="CQ19" s="166"/>
      <c r="CR19" s="166"/>
      <c r="CS19" s="166"/>
      <c r="CT19" s="166"/>
    </row>
    <row r="20" spans="1:98" s="2" customFormat="1" ht="15" customHeight="1" x14ac:dyDescent="0.15">
      <c r="A20" s="86" t="str">
        <f t="shared" si="7"/>
        <v/>
      </c>
      <c r="B20" s="232"/>
      <c r="C20" s="233"/>
      <c r="D20" s="232"/>
      <c r="E20" s="233"/>
      <c r="F20" s="257"/>
      <c r="G20" s="258"/>
      <c r="H20" s="259"/>
      <c r="I20" s="102"/>
      <c r="J20" s="101"/>
      <c r="K20" s="101"/>
      <c r="L20" s="101"/>
      <c r="M20" s="103"/>
      <c r="N20" s="102"/>
      <c r="O20" s="217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23"/>
      <c r="BW20" s="97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9"/>
      <c r="CI20" s="6" t="b">
        <f t="shared" si="6"/>
        <v>0</v>
      </c>
      <c r="CJ20" s="24" t="str">
        <f t="shared" ca="1" si="4"/>
        <v/>
      </c>
      <c r="CK20" s="5">
        <f>IF(COUNTIF($B$13:B20,B20)+COUNTIF('記載様式（入院患者）'!$CR$13:$CR$22,B20)=1,1,0)</f>
        <v>0</v>
      </c>
      <c r="CL20" s="1">
        <f>SUM($CK$13:CK20)+$CL$11</f>
        <v>0</v>
      </c>
      <c r="CM20" s="166"/>
      <c r="CN20" s="203" t="str">
        <f>IF('記載様式（入院患者）'!CT20="","",'記載様式（入院患者）'!CT20)</f>
        <v/>
      </c>
      <c r="CO20" s="166" t="str">
        <f>IF(AND(C10&lt;&gt;"新型コロナウイルス感染症",CN20&lt;&gt;""),'記載様式（入院患者）'!CU20,"")</f>
        <v/>
      </c>
      <c r="CP20" s="166" t="str">
        <f t="shared" si="5"/>
        <v/>
      </c>
      <c r="CQ20" s="166"/>
      <c r="CR20" s="166"/>
      <c r="CS20" s="166"/>
      <c r="CT20" s="166"/>
    </row>
    <row r="21" spans="1:98" s="2" customFormat="1" ht="15" customHeight="1" x14ac:dyDescent="0.15">
      <c r="A21" s="86" t="str">
        <f t="shared" si="7"/>
        <v/>
      </c>
      <c r="B21" s="232"/>
      <c r="C21" s="233"/>
      <c r="D21" s="232"/>
      <c r="E21" s="233"/>
      <c r="F21" s="257"/>
      <c r="G21" s="258"/>
      <c r="H21" s="259"/>
      <c r="I21" s="102"/>
      <c r="J21" s="110"/>
      <c r="K21" s="101"/>
      <c r="L21" s="101"/>
      <c r="M21" s="111"/>
      <c r="N21" s="100"/>
      <c r="O21" s="218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24"/>
      <c r="BW21" s="113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5"/>
      <c r="CI21" s="6" t="b">
        <f t="shared" si="6"/>
        <v>0</v>
      </c>
      <c r="CJ21" s="24" t="str">
        <f t="shared" ca="1" si="4"/>
        <v/>
      </c>
      <c r="CK21" s="5">
        <f>IF(COUNTIF($B$13:B21,B21)+COUNTIF('記載様式（入院患者）'!$CR$13:$CR$22,B21)=1,1,0)</f>
        <v>0</v>
      </c>
      <c r="CL21" s="1">
        <f>SUM($CK$13:CK21)+$CL$11</f>
        <v>0</v>
      </c>
      <c r="CM21" s="166"/>
      <c r="CN21" s="203" t="str">
        <f>IF('記載様式（入院患者）'!CT21="","",'記載様式（入院患者）'!CT21)</f>
        <v/>
      </c>
      <c r="CO21" s="166" t="str">
        <f>IF(AND(C11&lt;&gt;"新型コロナウイルス感染症",CN21&lt;&gt;""),'記載様式（入院患者）'!CU21,"")</f>
        <v/>
      </c>
      <c r="CP21" s="166" t="str">
        <f t="shared" si="5"/>
        <v/>
      </c>
      <c r="CQ21" s="166"/>
      <c r="CR21" s="166"/>
      <c r="CS21" s="166"/>
      <c r="CT21" s="166"/>
    </row>
    <row r="22" spans="1:98" s="2" customFormat="1" ht="15" customHeight="1" x14ac:dyDescent="0.15">
      <c r="A22" s="86" t="str">
        <f t="shared" si="7"/>
        <v/>
      </c>
      <c r="B22" s="232"/>
      <c r="C22" s="233"/>
      <c r="D22" s="232"/>
      <c r="E22" s="233"/>
      <c r="F22" s="257"/>
      <c r="G22" s="258"/>
      <c r="H22" s="259"/>
      <c r="I22" s="102"/>
      <c r="J22" s="110"/>
      <c r="K22" s="101"/>
      <c r="L22" s="101"/>
      <c r="M22" s="111"/>
      <c r="N22" s="100"/>
      <c r="O22" s="218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24"/>
      <c r="BW22" s="113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5"/>
      <c r="CI22" s="6" t="b">
        <f t="shared" si="6"/>
        <v>0</v>
      </c>
      <c r="CJ22" s="24" t="str">
        <f t="shared" ca="1" si="4"/>
        <v/>
      </c>
      <c r="CK22" s="5">
        <f>IF(COUNTIF($B$13:B22,B22)+COUNTIF('記載様式（入院患者）'!$CR$13:$CR$22,B22)=1,1,0)</f>
        <v>0</v>
      </c>
      <c r="CL22" s="1">
        <f>SUM($CK$13:CK22)+$CL$11</f>
        <v>0</v>
      </c>
      <c r="CM22" s="166"/>
      <c r="CN22" s="203" t="str">
        <f>IF('記載様式（入院患者）'!CT22="","",'記載様式（入院患者）'!CT22)</f>
        <v/>
      </c>
      <c r="CO22" s="166" t="str">
        <f>IF(AND(C12&lt;&gt;"新型コロナウイルス感染症",CN22&lt;&gt;""),'記載様式（入院患者）'!CU22,"")</f>
        <v/>
      </c>
      <c r="CP22" s="166" t="str">
        <f t="shared" si="5"/>
        <v/>
      </c>
      <c r="CQ22" s="166"/>
      <c r="CR22" s="166"/>
      <c r="CS22" s="166"/>
      <c r="CT22" s="166"/>
    </row>
    <row r="23" spans="1:98" s="2" customFormat="1" ht="15" customHeight="1" x14ac:dyDescent="0.15">
      <c r="A23" s="86" t="str">
        <f t="shared" si="7"/>
        <v/>
      </c>
      <c r="B23" s="232"/>
      <c r="C23" s="233"/>
      <c r="D23" s="232"/>
      <c r="E23" s="233"/>
      <c r="F23" s="257"/>
      <c r="G23" s="258"/>
      <c r="H23" s="259"/>
      <c r="I23" s="102"/>
      <c r="J23" s="110"/>
      <c r="K23" s="101"/>
      <c r="L23" s="101"/>
      <c r="M23" s="111"/>
      <c r="N23" s="100"/>
      <c r="O23" s="218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24"/>
      <c r="BW23" s="113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5"/>
      <c r="CI23" s="6" t="b">
        <f t="shared" si="6"/>
        <v>0</v>
      </c>
      <c r="CJ23" s="24" t="str">
        <f t="shared" ca="1" si="4"/>
        <v/>
      </c>
      <c r="CK23" s="5">
        <f>IF(COUNTIF($B$13:B23,B23)+COUNTIF('記載様式（入院患者）'!$CR$13:$CR$22,B23)=1,1,0)</f>
        <v>0</v>
      </c>
      <c r="CL23" s="1">
        <f>SUM($CK$13:CK23)+$CL$11</f>
        <v>0</v>
      </c>
      <c r="CM23" s="166"/>
      <c r="CN23" s="203" t="str">
        <f>IF('記載様式（入院患者）'!CT23="","",'記載様式（入院患者）'!CT23)</f>
        <v>計</v>
      </c>
      <c r="CO23" s="166">
        <f>IF('記載様式（入院患者）'!CU23="","",'記載様式（入院患者）'!CU23)</f>
        <v>0</v>
      </c>
      <c r="CP23" s="166">
        <f>IF(C3&lt;&gt;"新型コロナウイルス感染症",SUM(CP13:CP22),"")</f>
        <v>0</v>
      </c>
      <c r="CQ23" s="166"/>
      <c r="CR23" s="166"/>
      <c r="CS23" s="166"/>
      <c r="CT23" s="166"/>
    </row>
    <row r="24" spans="1:98" s="2" customFormat="1" ht="15" customHeight="1" x14ac:dyDescent="0.15">
      <c r="A24" s="86" t="str">
        <f t="shared" si="7"/>
        <v/>
      </c>
      <c r="B24" s="232"/>
      <c r="C24" s="233"/>
      <c r="D24" s="232"/>
      <c r="E24" s="233"/>
      <c r="F24" s="257"/>
      <c r="G24" s="258"/>
      <c r="H24" s="259"/>
      <c r="I24" s="102"/>
      <c r="J24" s="110"/>
      <c r="K24" s="101"/>
      <c r="L24" s="101"/>
      <c r="M24" s="111"/>
      <c r="N24" s="100"/>
      <c r="O24" s="218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24"/>
      <c r="BW24" s="113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5"/>
      <c r="CI24" s="6" t="b">
        <f t="shared" si="6"/>
        <v>0</v>
      </c>
      <c r="CJ24" s="24" t="str">
        <f t="shared" ca="1" si="4"/>
        <v/>
      </c>
      <c r="CK24" s="5">
        <f>IF(COUNTIF($B$13:B24,B24)+COUNTIF('記載様式（入院患者）'!$CR$13:$CR$22,B24)=1,1,0)</f>
        <v>0</v>
      </c>
      <c r="CL24" s="1">
        <f>SUM($CK$13:CK24)+$CL$11</f>
        <v>0</v>
      </c>
      <c r="CM24" s="166"/>
      <c r="CN24" s="166" t="str">
        <f>IF(C3="新型コロナウイルス感染症","入力内容から発生人数を算出しています。WEB報告の参考としてください。","")</f>
        <v/>
      </c>
      <c r="CO24" s="166"/>
      <c r="CP24" s="166"/>
      <c r="CQ24" s="166"/>
      <c r="CR24" s="166"/>
      <c r="CS24" s="166"/>
      <c r="CT24" s="166"/>
    </row>
    <row r="25" spans="1:98" s="2" customFormat="1" ht="15" customHeight="1" x14ac:dyDescent="0.15">
      <c r="A25" s="86" t="str">
        <f t="shared" si="7"/>
        <v/>
      </c>
      <c r="B25" s="232"/>
      <c r="C25" s="233"/>
      <c r="D25" s="232"/>
      <c r="E25" s="233"/>
      <c r="F25" s="257"/>
      <c r="G25" s="258"/>
      <c r="H25" s="259"/>
      <c r="I25" s="102"/>
      <c r="J25" s="101"/>
      <c r="K25" s="101"/>
      <c r="L25" s="101"/>
      <c r="M25" s="103"/>
      <c r="N25" s="102"/>
      <c r="O25" s="217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23"/>
      <c r="BW25" s="113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5"/>
      <c r="CI25" s="6" t="b">
        <f t="shared" si="6"/>
        <v>0</v>
      </c>
      <c r="CJ25" s="24" t="str">
        <f t="shared" ca="1" si="4"/>
        <v/>
      </c>
      <c r="CK25" s="5">
        <f>IF(COUNTIF($B$13:B25,B25)+COUNTIF('記載様式（入院患者）'!$CR$13:$CR$22,B25)=1,1,0)</f>
        <v>0</v>
      </c>
      <c r="CL25" s="1">
        <f>SUM($CK$13:CK25)+$CL$11</f>
        <v>0</v>
      </c>
      <c r="CM25" s="166"/>
      <c r="CN25" s="166" t="str">
        <f>IF(C3="新型コロナウイルス感染症","○病棟別の陽性者数（累計）","")</f>
        <v/>
      </c>
      <c r="CO25" s="166"/>
      <c r="CP25" s="166"/>
      <c r="CQ25" s="166"/>
      <c r="CR25" s="166" t="str">
        <f>IF(C3="新型コロナウイルス感染症","○死亡者数","")</f>
        <v/>
      </c>
      <c r="CS25" s="166"/>
      <c r="CT25" s="166"/>
    </row>
    <row r="26" spans="1:98" s="2" customFormat="1" ht="15" customHeight="1" x14ac:dyDescent="0.15">
      <c r="A26" s="86" t="str">
        <f t="shared" si="7"/>
        <v/>
      </c>
      <c r="B26" s="232"/>
      <c r="C26" s="233"/>
      <c r="D26" s="232"/>
      <c r="E26" s="233"/>
      <c r="F26" s="257"/>
      <c r="G26" s="258"/>
      <c r="H26" s="259"/>
      <c r="I26" s="102"/>
      <c r="J26" s="110"/>
      <c r="K26" s="101"/>
      <c r="L26" s="101"/>
      <c r="M26" s="111"/>
      <c r="N26" s="100"/>
      <c r="O26" s="218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24"/>
      <c r="BW26" s="113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5"/>
      <c r="CI26" s="6" t="b">
        <f t="shared" si="6"/>
        <v>0</v>
      </c>
      <c r="CJ26" s="24" t="str">
        <f t="shared" ca="1" si="4"/>
        <v/>
      </c>
      <c r="CK26" s="5">
        <f>IF(COUNTIF($B$13:B26,B26)+COUNTIF('記載様式（入院患者）'!$CR$13:$CR$22,B26)=1,1,0)</f>
        <v>0</v>
      </c>
      <c r="CL26" s="1">
        <f>SUM($CK$13:CK26)+$CL$11</f>
        <v>0</v>
      </c>
      <c r="CM26" s="166"/>
      <c r="CN26" s="166"/>
      <c r="CO26" s="203" t="str">
        <f>IF('記載様式（入院患者）'!CU26="","",'記載様式（入院患者）'!CU26)</f>
        <v/>
      </c>
      <c r="CP26" s="203" t="str">
        <f>IF('記載様式（入院患者）'!CV26="","",'記載様式（入院患者）'!CV26)</f>
        <v/>
      </c>
      <c r="CQ26" s="166"/>
      <c r="CR26" s="166"/>
      <c r="CS26" s="203" t="str">
        <f>IF(C3="新型コロナウイルス感染症","利用者","")</f>
        <v/>
      </c>
      <c r="CT26" s="203" t="str">
        <f>IF(C3="新型コロナウイルス感染症","職員","")</f>
        <v/>
      </c>
    </row>
    <row r="27" spans="1:98" x14ac:dyDescent="0.15">
      <c r="A27" s="86" t="str">
        <f t="shared" si="7"/>
        <v/>
      </c>
      <c r="B27" s="232"/>
      <c r="C27" s="233"/>
      <c r="D27" s="232"/>
      <c r="E27" s="233"/>
      <c r="F27" s="257"/>
      <c r="G27" s="258"/>
      <c r="H27" s="259"/>
      <c r="I27" s="102"/>
      <c r="J27" s="102"/>
      <c r="K27" s="101"/>
      <c r="L27" s="101"/>
      <c r="M27" s="103"/>
      <c r="N27" s="102"/>
      <c r="O27" s="217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23"/>
      <c r="BW27" s="113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5"/>
      <c r="CI27" s="6" t="b">
        <f t="shared" si="6"/>
        <v>0</v>
      </c>
      <c r="CJ27" s="24" t="str">
        <f t="shared" ca="1" si="4"/>
        <v/>
      </c>
      <c r="CK27" s="5">
        <f>IF(COUNTIF($B$13:B27,B27)+COUNTIF('記載様式（入院患者）'!$CR$13:$CR$22,B27)=1,1,0)</f>
        <v>0</v>
      </c>
      <c r="CL27" s="1">
        <f>SUM($CK$13:CK27)+$CL$11</f>
        <v>0</v>
      </c>
      <c r="CN27" s="203" t="str">
        <f>IF('記載様式（入院患者）'!CT27="","",'記載様式（入院患者）'!CT27)</f>
        <v/>
      </c>
      <c r="CO27" s="166" t="str">
        <f>IF('記載様式（入院患者）'!CU27="","",'記載様式（入院患者）'!CU27)</f>
        <v/>
      </c>
      <c r="CP27" s="166" t="str">
        <f t="shared" ref="CP27:CP36" si="8">IF(AND($C$3="新型コロナウイルス感染症",CN27&lt;&gt;""),COUNTIFS(B:B,CN27,K:K,"陽性"),"")</f>
        <v/>
      </c>
      <c r="CR27" s="166" t="str">
        <f>IF(C3="新型コロナウイルス感染症","死亡者数（累計）","")</f>
        <v/>
      </c>
      <c r="CS27" s="166" t="str">
        <f>IF('記載様式（入院患者）'!CY27="","",'記載様式（入院患者）'!CY27)</f>
        <v/>
      </c>
      <c r="CT27" s="203" t="str">
        <f>IF($C$3="新型コロナウイルス感染症","ー","")</f>
        <v/>
      </c>
    </row>
    <row r="28" spans="1:98" x14ac:dyDescent="0.15">
      <c r="A28" s="86" t="str">
        <f t="shared" si="7"/>
        <v/>
      </c>
      <c r="B28" s="232"/>
      <c r="C28" s="233"/>
      <c r="D28" s="232"/>
      <c r="E28" s="233"/>
      <c r="F28" s="257"/>
      <c r="G28" s="258"/>
      <c r="H28" s="259"/>
      <c r="I28" s="102"/>
      <c r="J28" s="153"/>
      <c r="K28" s="101"/>
      <c r="L28" s="101"/>
      <c r="M28" s="154"/>
      <c r="N28" s="102"/>
      <c r="O28" s="217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23"/>
      <c r="BW28" s="113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5"/>
      <c r="CI28" s="6" t="b">
        <f t="shared" si="6"/>
        <v>0</v>
      </c>
      <c r="CJ28" s="24" t="str">
        <f t="shared" ca="1" si="4"/>
        <v/>
      </c>
      <c r="CK28" s="5">
        <f>IF(COUNTIF($B$13:B28,B28)+COUNTIF('記載様式（入院患者）'!$CR$13:$CR$22,B28)=1,1,0)</f>
        <v>0</v>
      </c>
      <c r="CL28" s="1">
        <f>SUM($CK$13:CK28)+$CL$11</f>
        <v>0</v>
      </c>
      <c r="CN28" s="203" t="str">
        <f>IF('記載様式（入院患者）'!CT28="","",'記載様式（入院患者）'!CT28)</f>
        <v/>
      </c>
      <c r="CO28" s="166" t="str">
        <f>IF('記載様式（入院患者）'!CU28="","",'記載様式（入院患者）'!CU28)</f>
        <v/>
      </c>
      <c r="CP28" s="166" t="str">
        <f t="shared" si="8"/>
        <v/>
      </c>
    </row>
    <row r="29" spans="1:98" x14ac:dyDescent="0.15">
      <c r="A29" s="86" t="str">
        <f t="shared" si="7"/>
        <v/>
      </c>
      <c r="B29" s="232"/>
      <c r="C29" s="233"/>
      <c r="D29" s="232"/>
      <c r="E29" s="233"/>
      <c r="F29" s="257"/>
      <c r="G29" s="258"/>
      <c r="H29" s="259"/>
      <c r="I29" s="102"/>
      <c r="J29" s="153"/>
      <c r="K29" s="101"/>
      <c r="L29" s="101"/>
      <c r="M29" s="154"/>
      <c r="N29" s="102"/>
      <c r="O29" s="217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23"/>
      <c r="BW29" s="113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5"/>
      <c r="CI29" s="6" t="b">
        <f t="shared" si="6"/>
        <v>0</v>
      </c>
      <c r="CJ29" s="24" t="str">
        <f t="shared" ca="1" si="4"/>
        <v/>
      </c>
      <c r="CK29" s="5">
        <f>IF(COUNTIF($B$13:B29,B29)+COUNTIF('記載様式（入院患者）'!$CR$13:$CR$22,B29)=1,1,0)</f>
        <v>0</v>
      </c>
      <c r="CL29" s="1">
        <f>SUM($CK$13:CK29)+$CL$11</f>
        <v>0</v>
      </c>
      <c r="CN29" s="203" t="str">
        <f>IF('記載様式（入院患者）'!CT29="","",'記載様式（入院患者）'!CT29)</f>
        <v/>
      </c>
      <c r="CO29" s="166" t="str">
        <f>IF('記載様式（入院患者）'!CU29="","",'記載様式（入院患者）'!CU29)</f>
        <v/>
      </c>
      <c r="CP29" s="166" t="str">
        <f t="shared" si="8"/>
        <v/>
      </c>
    </row>
    <row r="30" spans="1:98" x14ac:dyDescent="0.15">
      <c r="A30" s="86" t="str">
        <f t="shared" si="7"/>
        <v/>
      </c>
      <c r="B30" s="232"/>
      <c r="C30" s="233"/>
      <c r="D30" s="232"/>
      <c r="E30" s="233"/>
      <c r="F30" s="257"/>
      <c r="G30" s="258"/>
      <c r="H30" s="259"/>
      <c r="I30" s="102"/>
      <c r="J30" s="153"/>
      <c r="K30" s="101"/>
      <c r="L30" s="101"/>
      <c r="M30" s="154"/>
      <c r="N30" s="102"/>
      <c r="O30" s="217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23"/>
      <c r="BW30" s="113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5"/>
      <c r="CI30" s="6" t="b">
        <f t="shared" si="6"/>
        <v>0</v>
      </c>
      <c r="CJ30" s="24" t="str">
        <f t="shared" ca="1" si="4"/>
        <v/>
      </c>
      <c r="CK30" s="5">
        <f>IF(COUNTIF($B$13:B30,B30)+COUNTIF('記載様式（入院患者）'!$CR$13:$CR$22,B30)=1,1,0)</f>
        <v>0</v>
      </c>
      <c r="CL30" s="1">
        <f>SUM($CK$13:CK30)+$CL$11</f>
        <v>0</v>
      </c>
      <c r="CN30" s="203" t="str">
        <f>IF('記載様式（入院患者）'!CT30="","",'記載様式（入院患者）'!CT30)</f>
        <v/>
      </c>
      <c r="CO30" s="166" t="str">
        <f>IF('記載様式（入院患者）'!CU30="","",'記載様式（入院患者）'!CU30)</f>
        <v/>
      </c>
      <c r="CP30" s="166" t="str">
        <f t="shared" si="8"/>
        <v/>
      </c>
    </row>
    <row r="31" spans="1:98" x14ac:dyDescent="0.15">
      <c r="A31" s="86" t="str">
        <f t="shared" si="7"/>
        <v/>
      </c>
      <c r="B31" s="232"/>
      <c r="C31" s="233"/>
      <c r="D31" s="232"/>
      <c r="E31" s="233"/>
      <c r="F31" s="257"/>
      <c r="G31" s="258"/>
      <c r="H31" s="259"/>
      <c r="I31" s="102"/>
      <c r="J31" s="153"/>
      <c r="K31" s="101"/>
      <c r="L31" s="101"/>
      <c r="M31" s="154"/>
      <c r="N31" s="102"/>
      <c r="O31" s="217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23"/>
      <c r="BW31" s="113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5"/>
      <c r="CI31" s="6" t="b">
        <f t="shared" si="6"/>
        <v>0</v>
      </c>
      <c r="CJ31" s="24" t="str">
        <f t="shared" ca="1" si="4"/>
        <v/>
      </c>
      <c r="CK31" s="5">
        <f>IF(COUNTIF($B$13:B31,B31)+COUNTIF('記載様式（入院患者）'!$CR$13:$CR$22,B31)=1,1,0)</f>
        <v>0</v>
      </c>
      <c r="CL31" s="1">
        <f>SUM($CK$13:CK31)+$CL$11</f>
        <v>0</v>
      </c>
      <c r="CN31" s="203" t="str">
        <f>IF('記載様式（入院患者）'!CT31="","",'記載様式（入院患者）'!CT31)</f>
        <v/>
      </c>
      <c r="CO31" s="166" t="str">
        <f>IF('記載様式（入院患者）'!CU31="","",'記載様式（入院患者）'!CU31)</f>
        <v/>
      </c>
      <c r="CP31" s="166" t="str">
        <f t="shared" si="8"/>
        <v/>
      </c>
    </row>
    <row r="32" spans="1:98" x14ac:dyDescent="0.15">
      <c r="A32" s="86" t="str">
        <f t="shared" si="7"/>
        <v/>
      </c>
      <c r="B32" s="232"/>
      <c r="C32" s="233"/>
      <c r="D32" s="232"/>
      <c r="E32" s="233"/>
      <c r="F32" s="257"/>
      <c r="G32" s="258"/>
      <c r="H32" s="259"/>
      <c r="I32" s="102"/>
      <c r="J32" s="153"/>
      <c r="K32" s="101"/>
      <c r="L32" s="101"/>
      <c r="M32" s="154"/>
      <c r="N32" s="102"/>
      <c r="O32" s="217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23"/>
      <c r="BW32" s="113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5"/>
      <c r="CI32" s="6" t="b">
        <f t="shared" si="6"/>
        <v>0</v>
      </c>
      <c r="CJ32" s="24" t="str">
        <f t="shared" ca="1" si="4"/>
        <v/>
      </c>
      <c r="CK32" s="5">
        <f>IF(COUNTIF($B$13:B32,B32)+COUNTIF('記載様式（入院患者）'!$CR$13:$CR$22,B32)=1,1,0)</f>
        <v>0</v>
      </c>
      <c r="CL32" s="1">
        <f>SUM($CK$13:CK32)+$CL$11</f>
        <v>0</v>
      </c>
      <c r="CN32" s="203" t="str">
        <f>IF('記載様式（入院患者）'!CT32="","",'記載様式（入院患者）'!CT32)</f>
        <v/>
      </c>
      <c r="CO32" s="166" t="str">
        <f>IF('記載様式（入院患者）'!CU32="","",'記載様式（入院患者）'!CU32)</f>
        <v/>
      </c>
      <c r="CP32" s="166" t="str">
        <f t="shared" si="8"/>
        <v/>
      </c>
    </row>
    <row r="33" spans="1:94" x14ac:dyDescent="0.15">
      <c r="A33" s="86" t="str">
        <f t="shared" si="7"/>
        <v/>
      </c>
      <c r="B33" s="232"/>
      <c r="C33" s="233"/>
      <c r="D33" s="232"/>
      <c r="E33" s="233"/>
      <c r="F33" s="257"/>
      <c r="G33" s="258"/>
      <c r="H33" s="259"/>
      <c r="I33" s="102"/>
      <c r="J33" s="153"/>
      <c r="K33" s="101"/>
      <c r="L33" s="101"/>
      <c r="M33" s="154"/>
      <c r="N33" s="102"/>
      <c r="O33" s="217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23"/>
      <c r="BW33" s="113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5"/>
      <c r="CI33" s="6" t="b">
        <f t="shared" si="6"/>
        <v>0</v>
      </c>
      <c r="CJ33" s="24" t="str">
        <f t="shared" ca="1" si="4"/>
        <v/>
      </c>
      <c r="CK33" s="5">
        <f>IF(COUNTIF($B$13:B33,B33)+COUNTIF('記載様式（入院患者）'!$CR$13:$CR$22,B33)=1,1,0)</f>
        <v>0</v>
      </c>
      <c r="CL33" s="1">
        <f>SUM($CK$13:CK33)+$CL$11</f>
        <v>0</v>
      </c>
      <c r="CN33" s="203" t="str">
        <f>IF('記載様式（入院患者）'!CT33="","",'記載様式（入院患者）'!CT33)</f>
        <v/>
      </c>
      <c r="CO33" s="166" t="str">
        <f>IF('記載様式（入院患者）'!CU33="","",'記載様式（入院患者）'!CU33)</f>
        <v/>
      </c>
      <c r="CP33" s="166" t="str">
        <f t="shared" si="8"/>
        <v/>
      </c>
    </row>
    <row r="34" spans="1:94" x14ac:dyDescent="0.15">
      <c r="A34" s="86" t="str">
        <f t="shared" si="7"/>
        <v/>
      </c>
      <c r="B34" s="232"/>
      <c r="C34" s="233"/>
      <c r="D34" s="232"/>
      <c r="E34" s="233"/>
      <c r="F34" s="257"/>
      <c r="G34" s="258"/>
      <c r="H34" s="259"/>
      <c r="I34" s="102"/>
      <c r="J34" s="153"/>
      <c r="K34" s="101"/>
      <c r="L34" s="101"/>
      <c r="M34" s="154"/>
      <c r="N34" s="102"/>
      <c r="O34" s="217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23"/>
      <c r="BW34" s="113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5"/>
      <c r="CI34" s="6" t="b">
        <f t="shared" si="6"/>
        <v>0</v>
      </c>
      <c r="CJ34" s="24" t="str">
        <f t="shared" ca="1" si="4"/>
        <v/>
      </c>
      <c r="CK34" s="5">
        <f>IF(COUNTIF($B$13:B34,B34)+COUNTIF('記載様式（入院患者）'!$CR$13:$CR$22,B34)=1,1,0)</f>
        <v>0</v>
      </c>
      <c r="CL34" s="1">
        <f>SUM($CK$13:CK34)+$CL$11</f>
        <v>0</v>
      </c>
      <c r="CN34" s="203" t="str">
        <f>IF('記載様式（入院患者）'!CT34="","",'記載様式（入院患者）'!CT34)</f>
        <v/>
      </c>
      <c r="CO34" s="166" t="str">
        <f>IF('記載様式（入院患者）'!CU34="","",'記載様式（入院患者）'!CU34)</f>
        <v/>
      </c>
      <c r="CP34" s="166" t="str">
        <f t="shared" si="8"/>
        <v/>
      </c>
    </row>
    <row r="35" spans="1:94" x14ac:dyDescent="0.15">
      <c r="A35" s="86" t="str">
        <f t="shared" si="7"/>
        <v/>
      </c>
      <c r="B35" s="232"/>
      <c r="C35" s="233"/>
      <c r="D35" s="232"/>
      <c r="E35" s="233"/>
      <c r="F35" s="257"/>
      <c r="G35" s="258"/>
      <c r="H35" s="259"/>
      <c r="I35" s="102"/>
      <c r="J35" s="153"/>
      <c r="K35" s="101"/>
      <c r="L35" s="101"/>
      <c r="M35" s="154"/>
      <c r="N35" s="102"/>
      <c r="O35" s="217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23"/>
      <c r="BW35" s="113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5"/>
      <c r="CI35" s="6" t="b">
        <f t="shared" si="6"/>
        <v>0</v>
      </c>
      <c r="CJ35" s="24" t="str">
        <f t="shared" ca="1" si="4"/>
        <v/>
      </c>
      <c r="CK35" s="5">
        <f>IF(COUNTIF($B$13:B35,B35)+COUNTIF('記載様式（入院患者）'!$CR$13:$CR$22,B35)=1,1,0)</f>
        <v>0</v>
      </c>
      <c r="CL35" s="1">
        <f>SUM($CK$13:CK35)+$CL$11</f>
        <v>0</v>
      </c>
      <c r="CN35" s="203" t="str">
        <f>IF('記載様式（入院患者）'!CT35="","",'記載様式（入院患者）'!CT35)</f>
        <v/>
      </c>
      <c r="CO35" s="166" t="str">
        <f>IF('記載様式（入院患者）'!CU35="","",'記載様式（入院患者）'!CU35)</f>
        <v/>
      </c>
      <c r="CP35" s="166" t="str">
        <f t="shared" si="8"/>
        <v/>
      </c>
    </row>
    <row r="36" spans="1:94" x14ac:dyDescent="0.15">
      <c r="A36" s="86" t="str">
        <f t="shared" si="7"/>
        <v/>
      </c>
      <c r="B36" s="232"/>
      <c r="C36" s="233"/>
      <c r="D36" s="232"/>
      <c r="E36" s="233"/>
      <c r="F36" s="257"/>
      <c r="G36" s="258"/>
      <c r="H36" s="259"/>
      <c r="I36" s="102"/>
      <c r="J36" s="153"/>
      <c r="K36" s="101"/>
      <c r="L36" s="101"/>
      <c r="M36" s="154"/>
      <c r="N36" s="102"/>
      <c r="O36" s="217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23"/>
      <c r="BW36" s="113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5"/>
      <c r="CI36" s="6" t="b">
        <f t="shared" si="6"/>
        <v>0</v>
      </c>
      <c r="CJ36" s="24" t="str">
        <f t="shared" ca="1" si="4"/>
        <v/>
      </c>
      <c r="CK36" s="5">
        <f>IF(COUNTIF($B$13:B36,B36)+COUNTIF('記載様式（入院患者）'!$CR$13:$CR$22,B36)=1,1,0)</f>
        <v>0</v>
      </c>
      <c r="CL36" s="1">
        <f>SUM($CK$13:CK36)+$CL$11</f>
        <v>0</v>
      </c>
      <c r="CN36" s="203" t="str">
        <f>IF('記載様式（入院患者）'!CT36="","",'記載様式（入院患者）'!CT36)</f>
        <v/>
      </c>
      <c r="CO36" s="166" t="str">
        <f>IF('記載様式（入院患者）'!CU36="","",'記載様式（入院患者）'!CU36)</f>
        <v/>
      </c>
      <c r="CP36" s="166" t="str">
        <f t="shared" si="8"/>
        <v/>
      </c>
    </row>
    <row r="37" spans="1:94" x14ac:dyDescent="0.15">
      <c r="A37" s="86" t="str">
        <f t="shared" si="7"/>
        <v/>
      </c>
      <c r="B37" s="232"/>
      <c r="C37" s="233"/>
      <c r="D37" s="232"/>
      <c r="E37" s="233"/>
      <c r="F37" s="257"/>
      <c r="G37" s="258"/>
      <c r="H37" s="259"/>
      <c r="I37" s="102"/>
      <c r="J37" s="153"/>
      <c r="K37" s="101"/>
      <c r="L37" s="101"/>
      <c r="M37" s="154"/>
      <c r="N37" s="102"/>
      <c r="O37" s="217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23"/>
      <c r="BW37" s="113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5"/>
      <c r="CI37" s="6" t="b">
        <f t="shared" si="6"/>
        <v>0</v>
      </c>
      <c r="CJ37" s="24" t="str">
        <f t="shared" ca="1" si="4"/>
        <v/>
      </c>
      <c r="CK37" s="5">
        <f>IF(COUNTIF($B$13:B37,B37)+COUNTIF('記載様式（入院患者）'!$CR$13:$CR$22,B37)=1,1,0)</f>
        <v>0</v>
      </c>
      <c r="CL37" s="1">
        <f>SUM($CK$13:CK37)+$CL$11</f>
        <v>0</v>
      </c>
      <c r="CN37" s="203" t="str">
        <f>IF('記載様式（入院患者）'!CT37="","",'記載様式（入院患者）'!CT37)</f>
        <v/>
      </c>
      <c r="CO37" s="166" t="str">
        <f>IF('記載様式（入院患者）'!CU37="","",'記載様式（入院患者）'!CU37)</f>
        <v/>
      </c>
      <c r="CP37" s="166" t="str">
        <f>IF('記載様式（入院患者）'!CV37="","",'記載様式（入院患者）'!CV37)</f>
        <v/>
      </c>
    </row>
    <row r="38" spans="1:94" x14ac:dyDescent="0.15">
      <c r="A38" s="86" t="str">
        <f t="shared" si="7"/>
        <v/>
      </c>
      <c r="B38" s="232"/>
      <c r="C38" s="233"/>
      <c r="D38" s="232"/>
      <c r="E38" s="233"/>
      <c r="F38" s="257"/>
      <c r="G38" s="258"/>
      <c r="H38" s="259"/>
      <c r="I38" s="102"/>
      <c r="J38" s="153"/>
      <c r="K38" s="101"/>
      <c r="L38" s="101"/>
      <c r="M38" s="154"/>
      <c r="N38" s="102"/>
      <c r="O38" s="217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23"/>
      <c r="BW38" s="113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5"/>
      <c r="CI38" s="6" t="b">
        <f t="shared" si="6"/>
        <v>0</v>
      </c>
      <c r="CJ38" s="24" t="str">
        <f t="shared" ca="1" si="4"/>
        <v/>
      </c>
      <c r="CK38" s="5">
        <f>IF(COUNTIF($B$13:B38,B38)+COUNTIF('記載様式（入院患者）'!$CR$13:$CR$22,B38)=1,1,0)</f>
        <v>0</v>
      </c>
      <c r="CL38" s="1">
        <f>SUM($CK$13:CK38)+$CL$11</f>
        <v>0</v>
      </c>
    </row>
    <row r="39" spans="1:94" x14ac:dyDescent="0.15">
      <c r="A39" s="86" t="str">
        <f t="shared" si="7"/>
        <v/>
      </c>
      <c r="B39" s="232"/>
      <c r="C39" s="233"/>
      <c r="D39" s="232"/>
      <c r="E39" s="233"/>
      <c r="F39" s="257"/>
      <c r="G39" s="258"/>
      <c r="H39" s="259"/>
      <c r="I39" s="102"/>
      <c r="J39" s="153"/>
      <c r="K39" s="101"/>
      <c r="L39" s="101"/>
      <c r="M39" s="154"/>
      <c r="N39" s="102"/>
      <c r="O39" s="217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23"/>
      <c r="BW39" s="113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5"/>
      <c r="CI39" s="6" t="b">
        <f t="shared" si="6"/>
        <v>0</v>
      </c>
      <c r="CJ39" s="24" t="str">
        <f t="shared" ca="1" si="4"/>
        <v/>
      </c>
      <c r="CK39" s="5">
        <f>IF(COUNTIF($B$13:B39,B39)+COUNTIF('記載様式（入院患者）'!$CR$13:$CR$22,B39)=1,1,0)</f>
        <v>0</v>
      </c>
      <c r="CL39" s="1">
        <f>SUM($CK$13:CK39)+$CL$11</f>
        <v>0</v>
      </c>
    </row>
    <row r="40" spans="1:94" x14ac:dyDescent="0.15">
      <c r="A40" s="86" t="str">
        <f t="shared" si="7"/>
        <v/>
      </c>
      <c r="B40" s="232"/>
      <c r="C40" s="233"/>
      <c r="D40" s="232"/>
      <c r="E40" s="233"/>
      <c r="F40" s="257"/>
      <c r="G40" s="258"/>
      <c r="H40" s="259"/>
      <c r="I40" s="102"/>
      <c r="J40" s="153"/>
      <c r="K40" s="101"/>
      <c r="L40" s="101"/>
      <c r="M40" s="154"/>
      <c r="N40" s="102"/>
      <c r="O40" s="217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23"/>
      <c r="BW40" s="113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5"/>
      <c r="CI40" s="6" t="b">
        <f t="shared" si="6"/>
        <v>0</v>
      </c>
      <c r="CJ40" s="24" t="str">
        <f t="shared" ca="1" si="4"/>
        <v/>
      </c>
      <c r="CK40" s="5">
        <f>IF(COUNTIF($B$13:B40,B40)+COUNTIF('記載様式（入院患者）'!$CR$13:$CR$22,B40)=1,1,0)</f>
        <v>0</v>
      </c>
      <c r="CL40" s="1">
        <f>SUM($CK$13:CK40)+$CL$11</f>
        <v>0</v>
      </c>
    </row>
    <row r="41" spans="1:94" x14ac:dyDescent="0.15">
      <c r="A41" s="86" t="str">
        <f t="shared" si="7"/>
        <v/>
      </c>
      <c r="B41" s="232"/>
      <c r="C41" s="233"/>
      <c r="D41" s="232"/>
      <c r="E41" s="233"/>
      <c r="F41" s="257"/>
      <c r="G41" s="258"/>
      <c r="H41" s="259"/>
      <c r="I41" s="102"/>
      <c r="J41" s="153"/>
      <c r="K41" s="101"/>
      <c r="L41" s="101"/>
      <c r="M41" s="154"/>
      <c r="N41" s="102"/>
      <c r="O41" s="217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23"/>
      <c r="BW41" s="113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5"/>
      <c r="CI41" s="6" t="b">
        <f t="shared" si="6"/>
        <v>0</v>
      </c>
      <c r="CJ41" s="24" t="str">
        <f t="shared" ca="1" si="4"/>
        <v/>
      </c>
      <c r="CK41" s="5">
        <f>IF(COUNTIF($B$13:B41,B41)+COUNTIF('記載様式（入院患者）'!$CR$13:$CR$22,B41)=1,1,0)</f>
        <v>0</v>
      </c>
      <c r="CL41" s="1">
        <f>SUM($CK$13:CK41)+$CL$11</f>
        <v>0</v>
      </c>
    </row>
    <row r="42" spans="1:94" x14ac:dyDescent="0.15">
      <c r="A42" s="86" t="str">
        <f t="shared" si="7"/>
        <v/>
      </c>
      <c r="B42" s="232"/>
      <c r="C42" s="233"/>
      <c r="D42" s="232"/>
      <c r="E42" s="233"/>
      <c r="F42" s="257"/>
      <c r="G42" s="258"/>
      <c r="H42" s="259"/>
      <c r="I42" s="102"/>
      <c r="J42" s="153"/>
      <c r="K42" s="101"/>
      <c r="L42" s="101"/>
      <c r="M42" s="154"/>
      <c r="N42" s="102"/>
      <c r="O42" s="217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23"/>
      <c r="BW42" s="113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  <c r="CI42" s="6" t="b">
        <f t="shared" si="6"/>
        <v>0</v>
      </c>
      <c r="CJ42" s="24" t="str">
        <f t="shared" ca="1" si="4"/>
        <v/>
      </c>
      <c r="CK42" s="5">
        <f>IF(COUNTIF($B$13:B42,B42)+COUNTIF('記載様式（入院患者）'!$CR$13:$CR$22,B42)=1,1,0)</f>
        <v>0</v>
      </c>
      <c r="CL42" s="1">
        <f>SUM($CK$13:CK42)+$CL$11</f>
        <v>0</v>
      </c>
    </row>
    <row r="43" spans="1:94" x14ac:dyDescent="0.15">
      <c r="A43" s="86" t="str">
        <f t="shared" si="7"/>
        <v/>
      </c>
      <c r="B43" s="232"/>
      <c r="C43" s="233"/>
      <c r="D43" s="232"/>
      <c r="E43" s="233"/>
      <c r="F43" s="257"/>
      <c r="G43" s="258"/>
      <c r="H43" s="259"/>
      <c r="I43" s="102"/>
      <c r="J43" s="153"/>
      <c r="K43" s="101"/>
      <c r="L43" s="101"/>
      <c r="M43" s="154"/>
      <c r="N43" s="102"/>
      <c r="O43" s="217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23"/>
      <c r="BW43" s="113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5"/>
      <c r="CI43" s="6" t="b">
        <f t="shared" si="6"/>
        <v>0</v>
      </c>
      <c r="CJ43" s="24" t="str">
        <f t="shared" ca="1" si="4"/>
        <v/>
      </c>
      <c r="CK43" s="5">
        <f>IF(COUNTIF($B$13:B43,B43)+COUNTIF('記載様式（入院患者）'!$CR$13:$CR$22,B43)=1,1,0)</f>
        <v>0</v>
      </c>
      <c r="CL43" s="1">
        <f>SUM($CK$13:CK43)+$CL$11</f>
        <v>0</v>
      </c>
    </row>
    <row r="44" spans="1:94" x14ac:dyDescent="0.15">
      <c r="A44" s="86" t="str">
        <f t="shared" si="7"/>
        <v/>
      </c>
      <c r="B44" s="232"/>
      <c r="C44" s="233"/>
      <c r="D44" s="232"/>
      <c r="E44" s="233"/>
      <c r="F44" s="257"/>
      <c r="G44" s="258"/>
      <c r="H44" s="259"/>
      <c r="I44" s="102"/>
      <c r="J44" s="153"/>
      <c r="K44" s="101"/>
      <c r="L44" s="101"/>
      <c r="M44" s="154"/>
      <c r="N44" s="102"/>
      <c r="O44" s="217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23"/>
      <c r="BW44" s="113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5"/>
      <c r="CI44" s="6" t="b">
        <f t="shared" si="6"/>
        <v>0</v>
      </c>
      <c r="CJ44" s="24" t="str">
        <f t="shared" ca="1" si="4"/>
        <v/>
      </c>
      <c r="CK44" s="5">
        <f>IF(COUNTIF($B$13:B44,B44)+COUNTIF('記載様式（入院患者）'!$CR$13:$CR$22,B44)=1,1,0)</f>
        <v>0</v>
      </c>
      <c r="CL44" s="1">
        <f>SUM($CK$13:CK44)+$CL$11</f>
        <v>0</v>
      </c>
    </row>
    <row r="45" spans="1:94" x14ac:dyDescent="0.15">
      <c r="A45" s="86" t="str">
        <f t="shared" si="7"/>
        <v/>
      </c>
      <c r="B45" s="232"/>
      <c r="C45" s="233"/>
      <c r="D45" s="232"/>
      <c r="E45" s="233"/>
      <c r="F45" s="257"/>
      <c r="G45" s="258"/>
      <c r="H45" s="259"/>
      <c r="I45" s="102"/>
      <c r="J45" s="153"/>
      <c r="K45" s="101"/>
      <c r="L45" s="101"/>
      <c r="M45" s="154"/>
      <c r="N45" s="102"/>
      <c r="O45" s="217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23"/>
      <c r="BW45" s="113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5"/>
      <c r="CI45" s="6" t="b">
        <f t="shared" si="6"/>
        <v>0</v>
      </c>
      <c r="CJ45" s="24" t="str">
        <f t="shared" ref="CJ45:CJ77" ca="1" si="9">IFERROR(OFFSET($O$9,0,MATCH("○",O45:BV45,0)-1,1,1),"")</f>
        <v/>
      </c>
      <c r="CK45" s="5">
        <f>IF(COUNTIF($B$13:B45,B45)+COUNTIF('記載様式（入院患者）'!$CR$13:$CR$22,B45)=1,1,0)</f>
        <v>0</v>
      </c>
      <c r="CL45" s="1">
        <f>SUM($CK$13:CK45)+$CL$11</f>
        <v>0</v>
      </c>
    </row>
    <row r="46" spans="1:94" x14ac:dyDescent="0.15">
      <c r="A46" s="86" t="str">
        <f t="shared" si="7"/>
        <v/>
      </c>
      <c r="B46" s="232"/>
      <c r="C46" s="233"/>
      <c r="D46" s="232"/>
      <c r="E46" s="233"/>
      <c r="F46" s="257"/>
      <c r="G46" s="258"/>
      <c r="H46" s="259"/>
      <c r="I46" s="102"/>
      <c r="J46" s="153"/>
      <c r="K46" s="101"/>
      <c r="L46" s="101"/>
      <c r="M46" s="154"/>
      <c r="N46" s="102"/>
      <c r="O46" s="217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23"/>
      <c r="BW46" s="113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5"/>
      <c r="CI46" s="6" t="b">
        <f t="shared" si="6"/>
        <v>0</v>
      </c>
      <c r="CJ46" s="24" t="str">
        <f t="shared" ca="1" si="9"/>
        <v/>
      </c>
      <c r="CK46" s="5">
        <f>IF(COUNTIF($B$13:B46,B46)+COUNTIF('記載様式（入院患者）'!$CR$13:$CR$22,B46)=1,1,0)</f>
        <v>0</v>
      </c>
      <c r="CL46" s="1">
        <f>SUM($CK$13:CK46)+$CL$11</f>
        <v>0</v>
      </c>
    </row>
    <row r="47" spans="1:94" x14ac:dyDescent="0.15">
      <c r="A47" s="86" t="str">
        <f t="shared" si="7"/>
        <v/>
      </c>
      <c r="B47" s="232"/>
      <c r="C47" s="233"/>
      <c r="D47" s="232"/>
      <c r="E47" s="233"/>
      <c r="F47" s="257"/>
      <c r="G47" s="258"/>
      <c r="H47" s="259"/>
      <c r="I47" s="102"/>
      <c r="J47" s="153"/>
      <c r="K47" s="101"/>
      <c r="L47" s="101"/>
      <c r="M47" s="154"/>
      <c r="N47" s="102"/>
      <c r="O47" s="217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23"/>
      <c r="BW47" s="113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5"/>
      <c r="CI47" s="6" t="b">
        <f t="shared" si="6"/>
        <v>0</v>
      </c>
      <c r="CJ47" s="24" t="str">
        <f t="shared" ca="1" si="9"/>
        <v/>
      </c>
      <c r="CK47" s="5">
        <f>IF(COUNTIF($B$13:B47,B47)+COUNTIF('記載様式（入院患者）'!$CR$13:$CR$22,B47)=1,1,0)</f>
        <v>0</v>
      </c>
      <c r="CL47" s="1">
        <f>SUM($CK$13:CK47)+$CL$11</f>
        <v>0</v>
      </c>
    </row>
    <row r="48" spans="1:94" x14ac:dyDescent="0.15">
      <c r="A48" s="86" t="str">
        <f t="shared" si="7"/>
        <v/>
      </c>
      <c r="B48" s="232"/>
      <c r="C48" s="233"/>
      <c r="D48" s="232"/>
      <c r="E48" s="233"/>
      <c r="F48" s="257"/>
      <c r="G48" s="258"/>
      <c r="H48" s="259"/>
      <c r="I48" s="102"/>
      <c r="J48" s="153"/>
      <c r="K48" s="101"/>
      <c r="L48" s="101"/>
      <c r="M48" s="154"/>
      <c r="N48" s="102"/>
      <c r="O48" s="217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23"/>
      <c r="BW48" s="113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5"/>
      <c r="CI48" s="6" t="b">
        <f t="shared" si="6"/>
        <v>0</v>
      </c>
      <c r="CJ48" s="24" t="str">
        <f t="shared" ca="1" si="9"/>
        <v/>
      </c>
      <c r="CK48" s="5">
        <f>IF(COUNTIF($B$13:B48,B48)+COUNTIF('記載様式（入院患者）'!$CR$13:$CR$22,B48)=1,1,0)</f>
        <v>0</v>
      </c>
      <c r="CL48" s="1">
        <f>SUM($CK$13:CK48)+$CL$11</f>
        <v>0</v>
      </c>
    </row>
    <row r="49" spans="1:90" x14ac:dyDescent="0.15">
      <c r="A49" s="86" t="str">
        <f t="shared" si="7"/>
        <v/>
      </c>
      <c r="B49" s="232"/>
      <c r="C49" s="233"/>
      <c r="D49" s="232"/>
      <c r="E49" s="233"/>
      <c r="F49" s="257"/>
      <c r="G49" s="258"/>
      <c r="H49" s="259"/>
      <c r="I49" s="102"/>
      <c r="J49" s="153"/>
      <c r="K49" s="101"/>
      <c r="L49" s="101"/>
      <c r="M49" s="154"/>
      <c r="N49" s="102"/>
      <c r="O49" s="217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23"/>
      <c r="BW49" s="113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5"/>
      <c r="CI49" s="6" t="b">
        <f t="shared" si="6"/>
        <v>0</v>
      </c>
      <c r="CJ49" s="24" t="str">
        <f t="shared" ca="1" si="9"/>
        <v/>
      </c>
      <c r="CK49" s="5">
        <f>IF(COUNTIF($B$13:B49,B49)+COUNTIF('記載様式（入院患者）'!$CR$13:$CR$22,B49)=1,1,0)</f>
        <v>0</v>
      </c>
      <c r="CL49" s="1">
        <f>SUM($CK$13:CK49)+$CL$11</f>
        <v>0</v>
      </c>
    </row>
    <row r="50" spans="1:90" x14ac:dyDescent="0.15">
      <c r="A50" s="86" t="str">
        <f t="shared" si="7"/>
        <v/>
      </c>
      <c r="B50" s="232"/>
      <c r="C50" s="233"/>
      <c r="D50" s="232"/>
      <c r="E50" s="233"/>
      <c r="F50" s="257"/>
      <c r="G50" s="258"/>
      <c r="H50" s="259"/>
      <c r="I50" s="102"/>
      <c r="J50" s="153"/>
      <c r="K50" s="101"/>
      <c r="L50" s="101"/>
      <c r="M50" s="154"/>
      <c r="N50" s="102"/>
      <c r="O50" s="217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23"/>
      <c r="BW50" s="113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5"/>
      <c r="CI50" s="6" t="b">
        <f t="shared" si="6"/>
        <v>0</v>
      </c>
      <c r="CJ50" s="24" t="str">
        <f t="shared" ca="1" si="9"/>
        <v/>
      </c>
      <c r="CK50" s="5">
        <f>IF(COUNTIF($B$13:B50,B50)+COUNTIF('記載様式（入院患者）'!$CR$13:$CR$22,B50)=1,1,0)</f>
        <v>0</v>
      </c>
      <c r="CL50" s="1">
        <f>SUM($CK$13:CK50)+$CL$11</f>
        <v>0</v>
      </c>
    </row>
    <row r="51" spans="1:90" x14ac:dyDescent="0.15">
      <c r="A51" s="86" t="str">
        <f t="shared" si="7"/>
        <v/>
      </c>
      <c r="B51" s="232"/>
      <c r="C51" s="233"/>
      <c r="D51" s="232"/>
      <c r="E51" s="233"/>
      <c r="F51" s="257"/>
      <c r="G51" s="258"/>
      <c r="H51" s="259"/>
      <c r="I51" s="102"/>
      <c r="J51" s="153"/>
      <c r="K51" s="101"/>
      <c r="L51" s="101"/>
      <c r="M51" s="154"/>
      <c r="N51" s="102"/>
      <c r="O51" s="217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23"/>
      <c r="BW51" s="113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5"/>
      <c r="CI51" s="6" t="b">
        <f t="shared" si="6"/>
        <v>0</v>
      </c>
      <c r="CJ51" s="24" t="str">
        <f t="shared" ca="1" si="9"/>
        <v/>
      </c>
      <c r="CK51" s="5">
        <f>IF(COUNTIF($B$13:B51,B51)+COUNTIF('記載様式（入院患者）'!$CR$13:$CR$22,B51)=1,1,0)</f>
        <v>0</v>
      </c>
      <c r="CL51" s="1">
        <f>SUM($CK$13:CK51)+$CL$11</f>
        <v>0</v>
      </c>
    </row>
    <row r="52" spans="1:90" x14ac:dyDescent="0.15">
      <c r="A52" s="86" t="str">
        <f t="shared" si="7"/>
        <v/>
      </c>
      <c r="B52" s="232"/>
      <c r="C52" s="233"/>
      <c r="D52" s="232"/>
      <c r="E52" s="233"/>
      <c r="F52" s="257"/>
      <c r="G52" s="258"/>
      <c r="H52" s="259"/>
      <c r="I52" s="102"/>
      <c r="J52" s="153"/>
      <c r="K52" s="101"/>
      <c r="L52" s="101"/>
      <c r="M52" s="154"/>
      <c r="N52" s="102"/>
      <c r="O52" s="217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23"/>
      <c r="BW52" s="113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5"/>
      <c r="CI52" s="6" t="b">
        <f t="shared" si="6"/>
        <v>0</v>
      </c>
      <c r="CJ52" s="24" t="str">
        <f t="shared" ca="1" si="9"/>
        <v/>
      </c>
      <c r="CK52" s="5">
        <f>IF(COUNTIF($B$13:B52,B52)+COUNTIF('記載様式（入院患者）'!$CR$13:$CR$22,B52)=1,1,0)</f>
        <v>0</v>
      </c>
      <c r="CL52" s="1">
        <f>SUM($CK$13:CK52)+$CL$11</f>
        <v>0</v>
      </c>
    </row>
    <row r="53" spans="1:90" x14ac:dyDescent="0.15">
      <c r="A53" s="86" t="str">
        <f t="shared" si="7"/>
        <v/>
      </c>
      <c r="B53" s="232"/>
      <c r="C53" s="233"/>
      <c r="D53" s="232"/>
      <c r="E53" s="233"/>
      <c r="F53" s="257"/>
      <c r="G53" s="258"/>
      <c r="H53" s="259"/>
      <c r="I53" s="102"/>
      <c r="J53" s="153"/>
      <c r="K53" s="101"/>
      <c r="L53" s="101"/>
      <c r="M53" s="154"/>
      <c r="N53" s="102"/>
      <c r="O53" s="217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23"/>
      <c r="BW53" s="113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5"/>
      <c r="CI53" s="6" t="b">
        <f t="shared" si="6"/>
        <v>0</v>
      </c>
      <c r="CJ53" s="24" t="str">
        <f t="shared" ca="1" si="9"/>
        <v/>
      </c>
      <c r="CK53" s="5">
        <f>IF(COUNTIF($B$13:B53,B53)+COUNTIF('記載様式（入院患者）'!$CR$13:$CR$22,B53)=1,1,0)</f>
        <v>0</v>
      </c>
      <c r="CL53" s="1">
        <f>SUM($CK$13:CK53)+$CL$11</f>
        <v>0</v>
      </c>
    </row>
    <row r="54" spans="1:90" x14ac:dyDescent="0.15">
      <c r="A54" s="86" t="str">
        <f t="shared" si="7"/>
        <v/>
      </c>
      <c r="B54" s="232"/>
      <c r="C54" s="233"/>
      <c r="D54" s="232"/>
      <c r="E54" s="233"/>
      <c r="F54" s="257"/>
      <c r="G54" s="258"/>
      <c r="H54" s="259"/>
      <c r="I54" s="102"/>
      <c r="J54" s="153"/>
      <c r="K54" s="101"/>
      <c r="L54" s="101"/>
      <c r="M54" s="154"/>
      <c r="N54" s="102"/>
      <c r="O54" s="217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23"/>
      <c r="BW54" s="113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5"/>
      <c r="CI54" s="6" t="b">
        <f t="shared" si="6"/>
        <v>0</v>
      </c>
      <c r="CJ54" s="24" t="str">
        <f t="shared" ca="1" si="9"/>
        <v/>
      </c>
      <c r="CK54" s="5">
        <f>IF(COUNTIF($B$13:B54,B54)+COUNTIF('記載様式（入院患者）'!$CR$13:$CR$22,B54)=1,1,0)</f>
        <v>0</v>
      </c>
      <c r="CL54" s="1">
        <f>SUM($CK$13:CK54)+$CL$11</f>
        <v>0</v>
      </c>
    </row>
    <row r="55" spans="1:90" x14ac:dyDescent="0.15">
      <c r="A55" s="86" t="str">
        <f t="shared" si="7"/>
        <v/>
      </c>
      <c r="B55" s="232"/>
      <c r="C55" s="233"/>
      <c r="D55" s="232"/>
      <c r="E55" s="233"/>
      <c r="F55" s="257"/>
      <c r="G55" s="258"/>
      <c r="H55" s="259"/>
      <c r="I55" s="102"/>
      <c r="J55" s="153"/>
      <c r="K55" s="101"/>
      <c r="L55" s="101"/>
      <c r="M55" s="154"/>
      <c r="N55" s="102"/>
      <c r="O55" s="217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23"/>
      <c r="BW55" s="113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5"/>
      <c r="CI55" s="6" t="b">
        <f t="shared" si="6"/>
        <v>0</v>
      </c>
      <c r="CJ55" s="24" t="str">
        <f t="shared" ca="1" si="9"/>
        <v/>
      </c>
      <c r="CK55" s="5">
        <f>IF(COUNTIF($B$13:B55,B55)+COUNTIF('記載様式（入院患者）'!$CR$13:$CR$22,B55)=1,1,0)</f>
        <v>0</v>
      </c>
      <c r="CL55" s="1">
        <f>SUM($CK$13:CK55)+$CL$11</f>
        <v>0</v>
      </c>
    </row>
    <row r="56" spans="1:90" x14ac:dyDescent="0.15">
      <c r="A56" s="86" t="str">
        <f t="shared" si="7"/>
        <v/>
      </c>
      <c r="B56" s="232"/>
      <c r="C56" s="233"/>
      <c r="D56" s="232"/>
      <c r="E56" s="233"/>
      <c r="F56" s="257"/>
      <c r="G56" s="258"/>
      <c r="H56" s="259"/>
      <c r="I56" s="102"/>
      <c r="J56" s="153"/>
      <c r="K56" s="101"/>
      <c r="L56" s="101"/>
      <c r="M56" s="154"/>
      <c r="N56" s="102"/>
      <c r="O56" s="217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23"/>
      <c r="BW56" s="113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5"/>
      <c r="CI56" s="6" t="b">
        <f t="shared" si="6"/>
        <v>0</v>
      </c>
      <c r="CJ56" s="24" t="str">
        <f t="shared" ca="1" si="9"/>
        <v/>
      </c>
      <c r="CK56" s="5">
        <f>IF(COUNTIF($B$13:B56,B56)+COUNTIF('記載様式（入院患者）'!$CR$13:$CR$22,B56)=1,1,0)</f>
        <v>0</v>
      </c>
      <c r="CL56" s="1">
        <f>SUM($CK$13:CK56)+$CL$11</f>
        <v>0</v>
      </c>
    </row>
    <row r="57" spans="1:90" x14ac:dyDescent="0.15">
      <c r="A57" s="86" t="str">
        <f t="shared" si="7"/>
        <v/>
      </c>
      <c r="B57" s="232"/>
      <c r="C57" s="233"/>
      <c r="D57" s="232"/>
      <c r="E57" s="233"/>
      <c r="F57" s="257"/>
      <c r="G57" s="258"/>
      <c r="H57" s="259"/>
      <c r="I57" s="102"/>
      <c r="J57" s="153"/>
      <c r="K57" s="101"/>
      <c r="L57" s="101"/>
      <c r="M57" s="154"/>
      <c r="N57" s="102"/>
      <c r="O57" s="217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23"/>
      <c r="BW57" s="113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5"/>
      <c r="CI57" s="6" t="b">
        <f t="shared" si="6"/>
        <v>0</v>
      </c>
      <c r="CJ57" s="24" t="str">
        <f t="shared" ca="1" si="9"/>
        <v/>
      </c>
      <c r="CK57" s="5">
        <f>IF(COUNTIF($B$13:B57,B57)+COUNTIF('記載様式（入院患者）'!$CR$13:$CR$22,B57)=1,1,0)</f>
        <v>0</v>
      </c>
      <c r="CL57" s="1">
        <f>SUM($CK$13:CK57)+$CL$11</f>
        <v>0</v>
      </c>
    </row>
    <row r="58" spans="1:90" x14ac:dyDescent="0.15">
      <c r="A58" s="86" t="str">
        <f t="shared" si="7"/>
        <v/>
      </c>
      <c r="B58" s="232"/>
      <c r="C58" s="233"/>
      <c r="D58" s="232"/>
      <c r="E58" s="233"/>
      <c r="F58" s="257"/>
      <c r="G58" s="258"/>
      <c r="H58" s="259"/>
      <c r="I58" s="102"/>
      <c r="J58" s="153"/>
      <c r="K58" s="101"/>
      <c r="L58" s="101"/>
      <c r="M58" s="154"/>
      <c r="N58" s="102"/>
      <c r="O58" s="217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23"/>
      <c r="BW58" s="113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5"/>
      <c r="CI58" s="6" t="b">
        <f t="shared" si="6"/>
        <v>0</v>
      </c>
      <c r="CJ58" s="24" t="str">
        <f t="shared" ca="1" si="9"/>
        <v/>
      </c>
      <c r="CK58" s="5">
        <f>IF(COUNTIF($B$13:B58,B58)+COUNTIF('記載様式（入院患者）'!$CR$13:$CR$22,B58)=1,1,0)</f>
        <v>0</v>
      </c>
      <c r="CL58" s="1">
        <f>SUM($CK$13:CK58)+$CL$11</f>
        <v>0</v>
      </c>
    </row>
    <row r="59" spans="1:90" x14ac:dyDescent="0.15">
      <c r="A59" s="86" t="str">
        <f t="shared" si="7"/>
        <v/>
      </c>
      <c r="B59" s="232"/>
      <c r="C59" s="233"/>
      <c r="D59" s="232"/>
      <c r="E59" s="233"/>
      <c r="F59" s="257"/>
      <c r="G59" s="258"/>
      <c r="H59" s="259"/>
      <c r="I59" s="102"/>
      <c r="J59" s="153"/>
      <c r="K59" s="101"/>
      <c r="L59" s="101"/>
      <c r="M59" s="154"/>
      <c r="N59" s="102"/>
      <c r="O59" s="217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23"/>
      <c r="BW59" s="113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5"/>
      <c r="CI59" s="6" t="b">
        <f t="shared" si="6"/>
        <v>0</v>
      </c>
      <c r="CJ59" s="24" t="str">
        <f t="shared" ca="1" si="9"/>
        <v/>
      </c>
      <c r="CK59" s="5">
        <f>IF(COUNTIF($B$13:B59,B59)+COUNTIF('記載様式（入院患者）'!$CR$13:$CR$22,B59)=1,1,0)</f>
        <v>0</v>
      </c>
      <c r="CL59" s="1">
        <f>SUM($CK$13:CK59)+$CL$11</f>
        <v>0</v>
      </c>
    </row>
    <row r="60" spans="1:90" x14ac:dyDescent="0.15">
      <c r="A60" s="86" t="str">
        <f t="shared" si="7"/>
        <v/>
      </c>
      <c r="B60" s="232"/>
      <c r="C60" s="233"/>
      <c r="D60" s="232"/>
      <c r="E60" s="233"/>
      <c r="F60" s="257"/>
      <c r="G60" s="258"/>
      <c r="H60" s="259"/>
      <c r="I60" s="102"/>
      <c r="J60" s="153"/>
      <c r="K60" s="101"/>
      <c r="L60" s="101"/>
      <c r="M60" s="154"/>
      <c r="N60" s="102"/>
      <c r="O60" s="217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23"/>
      <c r="BW60" s="113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5"/>
      <c r="CI60" s="6" t="b">
        <f t="shared" si="6"/>
        <v>0</v>
      </c>
      <c r="CJ60" s="24" t="str">
        <f t="shared" ca="1" si="9"/>
        <v/>
      </c>
      <c r="CK60" s="5">
        <f>IF(COUNTIF($B$13:B60,B60)+COUNTIF('記載様式（入院患者）'!$CR$13:$CR$22,B60)=1,1,0)</f>
        <v>0</v>
      </c>
      <c r="CL60" s="1">
        <f>SUM($CK$13:CK60)+$CL$11</f>
        <v>0</v>
      </c>
    </row>
    <row r="61" spans="1:90" x14ac:dyDescent="0.15">
      <c r="A61" s="86" t="str">
        <f t="shared" si="7"/>
        <v/>
      </c>
      <c r="B61" s="232"/>
      <c r="C61" s="233"/>
      <c r="D61" s="232"/>
      <c r="E61" s="233"/>
      <c r="F61" s="257"/>
      <c r="G61" s="258"/>
      <c r="H61" s="259"/>
      <c r="I61" s="102"/>
      <c r="J61" s="155"/>
      <c r="K61" s="101"/>
      <c r="L61" s="110"/>
      <c r="M61" s="156"/>
      <c r="N61" s="100"/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24"/>
      <c r="BW61" s="124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6"/>
      <c r="CI61" s="6" t="b">
        <f t="shared" si="6"/>
        <v>0</v>
      </c>
      <c r="CJ61" s="24" t="str">
        <f t="shared" ca="1" si="9"/>
        <v/>
      </c>
      <c r="CK61" s="5">
        <f>IF(COUNTIF($B$13:B61,B61)+COUNTIF('記載様式（入院患者）'!$CR$13:$CR$22,B61)=1,1,0)</f>
        <v>0</v>
      </c>
      <c r="CL61" s="1">
        <f>SUM($CK$13:CK61)+$CL$11</f>
        <v>0</v>
      </c>
    </row>
    <row r="62" spans="1:90" x14ac:dyDescent="0.15">
      <c r="A62" s="86" t="str">
        <f t="shared" si="7"/>
        <v/>
      </c>
      <c r="B62" s="232"/>
      <c r="C62" s="233"/>
      <c r="D62" s="232"/>
      <c r="E62" s="233"/>
      <c r="F62" s="257"/>
      <c r="G62" s="258"/>
      <c r="H62" s="259"/>
      <c r="I62" s="102"/>
      <c r="J62" s="155"/>
      <c r="K62" s="101"/>
      <c r="L62" s="110"/>
      <c r="M62" s="156"/>
      <c r="N62" s="100"/>
      <c r="O62" s="218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24"/>
      <c r="BW62" s="124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6"/>
      <c r="CI62" s="6" t="b">
        <f t="shared" si="6"/>
        <v>0</v>
      </c>
      <c r="CJ62" s="24" t="str">
        <f t="shared" ca="1" si="9"/>
        <v/>
      </c>
      <c r="CK62" s="5">
        <f>IF(COUNTIF($B$13:B62,B62)+COUNTIF('記載様式（入院患者）'!$CR$13:$CR$22,B62)=1,1,0)</f>
        <v>0</v>
      </c>
      <c r="CL62" s="1">
        <f>SUM($CK$13:CK62)+$CL$11</f>
        <v>0</v>
      </c>
    </row>
    <row r="63" spans="1:90" x14ac:dyDescent="0.15">
      <c r="A63" s="86" t="str">
        <f t="shared" si="7"/>
        <v/>
      </c>
      <c r="B63" s="232"/>
      <c r="C63" s="233"/>
      <c r="D63" s="232"/>
      <c r="E63" s="233"/>
      <c r="F63" s="257"/>
      <c r="G63" s="258"/>
      <c r="H63" s="259"/>
      <c r="I63" s="102"/>
      <c r="J63" s="155"/>
      <c r="K63" s="101"/>
      <c r="L63" s="110"/>
      <c r="M63" s="156"/>
      <c r="N63" s="100"/>
      <c r="O63" s="218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24"/>
      <c r="BW63" s="124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6"/>
      <c r="CI63" s="6" t="b">
        <f t="shared" si="6"/>
        <v>0</v>
      </c>
      <c r="CJ63" s="24" t="str">
        <f t="shared" ca="1" si="9"/>
        <v/>
      </c>
      <c r="CK63" s="5">
        <f>IF(COUNTIF($B$13:B63,B63)+COUNTIF('記載様式（入院患者）'!$CR$13:$CR$22,B63)=1,1,0)</f>
        <v>0</v>
      </c>
      <c r="CL63" s="1">
        <f>SUM($CK$13:CK63)+$CL$11</f>
        <v>0</v>
      </c>
    </row>
    <row r="64" spans="1:90" x14ac:dyDescent="0.15">
      <c r="A64" s="86" t="str">
        <f t="shared" si="7"/>
        <v/>
      </c>
      <c r="B64" s="232"/>
      <c r="C64" s="233"/>
      <c r="D64" s="232"/>
      <c r="E64" s="233"/>
      <c r="F64" s="257"/>
      <c r="G64" s="258"/>
      <c r="H64" s="259"/>
      <c r="I64" s="102"/>
      <c r="J64" s="155"/>
      <c r="K64" s="101"/>
      <c r="L64" s="110"/>
      <c r="M64" s="156"/>
      <c r="N64" s="100"/>
      <c r="O64" s="218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24"/>
      <c r="BW64" s="124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6"/>
      <c r="CI64" s="6" t="b">
        <f t="shared" si="6"/>
        <v>0</v>
      </c>
      <c r="CJ64" s="24" t="str">
        <f t="shared" ca="1" si="9"/>
        <v/>
      </c>
      <c r="CK64" s="5">
        <f>IF(COUNTIF($B$13:B64,B64)+COUNTIF('記載様式（入院患者）'!$CR$13:$CR$22,B64)=1,1,0)</f>
        <v>0</v>
      </c>
      <c r="CL64" s="1">
        <f>SUM($CK$13:CK64)+$CL$11</f>
        <v>0</v>
      </c>
    </row>
    <row r="65" spans="1:90" x14ac:dyDescent="0.15">
      <c r="A65" s="86" t="str">
        <f t="shared" si="7"/>
        <v/>
      </c>
      <c r="B65" s="232"/>
      <c r="C65" s="233"/>
      <c r="D65" s="232"/>
      <c r="E65" s="233"/>
      <c r="F65" s="257"/>
      <c r="G65" s="258"/>
      <c r="H65" s="259"/>
      <c r="I65" s="102"/>
      <c r="J65" s="155"/>
      <c r="K65" s="101"/>
      <c r="L65" s="110"/>
      <c r="M65" s="156"/>
      <c r="N65" s="100"/>
      <c r="O65" s="218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24"/>
      <c r="BW65" s="124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6"/>
      <c r="CI65" s="6" t="b">
        <f t="shared" si="6"/>
        <v>0</v>
      </c>
      <c r="CJ65" s="24" t="str">
        <f t="shared" ca="1" si="9"/>
        <v/>
      </c>
      <c r="CK65" s="5">
        <f>IF(COUNTIF($B$13:B65,B65)+COUNTIF('記載様式（入院患者）'!$CR$13:$CR$22,B65)=1,1,0)</f>
        <v>0</v>
      </c>
      <c r="CL65" s="1">
        <f>SUM($CK$13:CK65)+$CL$11</f>
        <v>0</v>
      </c>
    </row>
    <row r="66" spans="1:90" x14ac:dyDescent="0.15">
      <c r="A66" s="86" t="str">
        <f t="shared" si="7"/>
        <v/>
      </c>
      <c r="B66" s="232"/>
      <c r="C66" s="233"/>
      <c r="D66" s="232"/>
      <c r="E66" s="233"/>
      <c r="F66" s="257"/>
      <c r="G66" s="258"/>
      <c r="H66" s="259"/>
      <c r="I66" s="102"/>
      <c r="J66" s="155"/>
      <c r="K66" s="101"/>
      <c r="L66" s="110"/>
      <c r="M66" s="156"/>
      <c r="N66" s="100"/>
      <c r="O66" s="218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24"/>
      <c r="BW66" s="124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6"/>
      <c r="CI66" s="6" t="b">
        <f t="shared" si="6"/>
        <v>0</v>
      </c>
      <c r="CJ66" s="24" t="str">
        <f t="shared" ca="1" si="9"/>
        <v/>
      </c>
      <c r="CK66" s="5">
        <f>IF(COUNTIF($B$13:B66,B66)+COUNTIF('記載様式（入院患者）'!$CR$13:$CR$22,B66)=1,1,0)</f>
        <v>0</v>
      </c>
      <c r="CL66" s="1">
        <f>SUM($CK$13:CK66)+$CL$11</f>
        <v>0</v>
      </c>
    </row>
    <row r="67" spans="1:90" x14ac:dyDescent="0.15">
      <c r="A67" s="86" t="str">
        <f t="shared" si="7"/>
        <v/>
      </c>
      <c r="B67" s="232"/>
      <c r="C67" s="233"/>
      <c r="D67" s="232"/>
      <c r="E67" s="233"/>
      <c r="F67" s="257"/>
      <c r="G67" s="258"/>
      <c r="H67" s="259"/>
      <c r="I67" s="102"/>
      <c r="J67" s="155"/>
      <c r="K67" s="101"/>
      <c r="L67" s="110"/>
      <c r="M67" s="156"/>
      <c r="N67" s="100"/>
      <c r="O67" s="218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24"/>
      <c r="BW67" s="124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6"/>
      <c r="CI67" s="6" t="b">
        <f t="shared" si="6"/>
        <v>0</v>
      </c>
      <c r="CJ67" s="24" t="str">
        <f t="shared" ca="1" si="9"/>
        <v/>
      </c>
      <c r="CK67" s="5">
        <f>IF(COUNTIF($B$13:B67,B67)+COUNTIF('記載様式（入院患者）'!$CR$13:$CR$22,B67)=1,1,0)</f>
        <v>0</v>
      </c>
      <c r="CL67" s="1">
        <f>SUM($CK$13:CK67)+$CL$11</f>
        <v>0</v>
      </c>
    </row>
    <row r="68" spans="1:90" x14ac:dyDescent="0.15">
      <c r="A68" s="86" t="str">
        <f t="shared" si="7"/>
        <v/>
      </c>
      <c r="B68" s="232"/>
      <c r="C68" s="233"/>
      <c r="D68" s="232"/>
      <c r="E68" s="233"/>
      <c r="F68" s="257"/>
      <c r="G68" s="258"/>
      <c r="H68" s="259"/>
      <c r="I68" s="102"/>
      <c r="J68" s="155"/>
      <c r="K68" s="101"/>
      <c r="L68" s="110"/>
      <c r="M68" s="156"/>
      <c r="N68" s="100"/>
      <c r="O68" s="218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24"/>
      <c r="BW68" s="124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6"/>
      <c r="CI68" s="6" t="b">
        <f t="shared" si="6"/>
        <v>0</v>
      </c>
      <c r="CJ68" s="24" t="str">
        <f t="shared" ca="1" si="9"/>
        <v/>
      </c>
      <c r="CK68" s="5">
        <f>IF(COUNTIF($B$13:B68,B68)+COUNTIF('記載様式（入院患者）'!$CR$13:$CR$22,B68)=1,1,0)</f>
        <v>0</v>
      </c>
      <c r="CL68" s="1">
        <f>SUM($CK$13:CK68)+$CL$11</f>
        <v>0</v>
      </c>
    </row>
    <row r="69" spans="1:90" x14ac:dyDescent="0.15">
      <c r="A69" s="86" t="str">
        <f t="shared" si="7"/>
        <v/>
      </c>
      <c r="B69" s="232"/>
      <c r="C69" s="233"/>
      <c r="D69" s="232"/>
      <c r="E69" s="233"/>
      <c r="F69" s="257"/>
      <c r="G69" s="258"/>
      <c r="H69" s="259"/>
      <c r="I69" s="102"/>
      <c r="J69" s="155"/>
      <c r="K69" s="101"/>
      <c r="L69" s="110"/>
      <c r="M69" s="156"/>
      <c r="N69" s="100"/>
      <c r="O69" s="218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24"/>
      <c r="BW69" s="124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6"/>
      <c r="CI69" s="6" t="b">
        <f t="shared" si="6"/>
        <v>0</v>
      </c>
      <c r="CJ69" s="24" t="str">
        <f t="shared" ca="1" si="9"/>
        <v/>
      </c>
      <c r="CK69" s="5">
        <f>IF(COUNTIF($B$13:B69,B69)+COUNTIF('記載様式（入院患者）'!$CR$13:$CR$22,B69)=1,1,0)</f>
        <v>0</v>
      </c>
      <c r="CL69" s="1">
        <f>SUM($CK$13:CK69)+$CL$11</f>
        <v>0</v>
      </c>
    </row>
    <row r="70" spans="1:90" x14ac:dyDescent="0.15">
      <c r="A70" s="86" t="str">
        <f t="shared" si="7"/>
        <v/>
      </c>
      <c r="B70" s="232"/>
      <c r="C70" s="233"/>
      <c r="D70" s="232"/>
      <c r="E70" s="233"/>
      <c r="F70" s="257"/>
      <c r="G70" s="258"/>
      <c r="H70" s="259"/>
      <c r="I70" s="102"/>
      <c r="J70" s="155"/>
      <c r="K70" s="101"/>
      <c r="L70" s="110"/>
      <c r="M70" s="156"/>
      <c r="N70" s="100"/>
      <c r="O70" s="218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24"/>
      <c r="BW70" s="124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6"/>
      <c r="CI70" s="6" t="b">
        <f t="shared" si="6"/>
        <v>0</v>
      </c>
      <c r="CJ70" s="24" t="str">
        <f t="shared" ca="1" si="9"/>
        <v/>
      </c>
      <c r="CK70" s="5">
        <f>IF(COUNTIF($B$13:B70,B70)+COUNTIF('記載様式（入院患者）'!$CR$13:$CR$22,B70)=1,1,0)</f>
        <v>0</v>
      </c>
      <c r="CL70" s="1">
        <f>SUM($CK$13:CK70)+$CL$11</f>
        <v>0</v>
      </c>
    </row>
    <row r="71" spans="1:90" x14ac:dyDescent="0.15">
      <c r="A71" s="86" t="str">
        <f t="shared" si="7"/>
        <v/>
      </c>
      <c r="B71" s="232"/>
      <c r="C71" s="233"/>
      <c r="D71" s="232"/>
      <c r="E71" s="233"/>
      <c r="F71" s="257"/>
      <c r="G71" s="258"/>
      <c r="H71" s="259"/>
      <c r="I71" s="102"/>
      <c r="J71" s="155"/>
      <c r="K71" s="101"/>
      <c r="L71" s="110"/>
      <c r="M71" s="156"/>
      <c r="N71" s="100"/>
      <c r="O71" s="218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24"/>
      <c r="BW71" s="124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6"/>
      <c r="CI71" s="6" t="b">
        <f t="shared" si="6"/>
        <v>0</v>
      </c>
      <c r="CJ71" s="24" t="str">
        <f t="shared" ca="1" si="9"/>
        <v/>
      </c>
      <c r="CK71" s="5">
        <f>IF(COUNTIF($B$13:B71,B71)+COUNTIF('記載様式（入院患者）'!$CR$13:$CR$22,B71)=1,1,0)</f>
        <v>0</v>
      </c>
      <c r="CL71" s="1">
        <f>SUM($CK$13:CK71)+$CL$11</f>
        <v>0</v>
      </c>
    </row>
    <row r="72" spans="1:90" x14ac:dyDescent="0.15">
      <c r="A72" s="86" t="str">
        <f t="shared" si="7"/>
        <v/>
      </c>
      <c r="B72" s="232"/>
      <c r="C72" s="233"/>
      <c r="D72" s="232"/>
      <c r="E72" s="233"/>
      <c r="F72" s="257"/>
      <c r="G72" s="258"/>
      <c r="H72" s="259"/>
      <c r="I72" s="102"/>
      <c r="J72" s="155"/>
      <c r="K72" s="101"/>
      <c r="L72" s="110"/>
      <c r="M72" s="156"/>
      <c r="N72" s="100"/>
      <c r="O72" s="218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24"/>
      <c r="BW72" s="124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6"/>
      <c r="CI72" s="6" t="b">
        <f t="shared" si="6"/>
        <v>0</v>
      </c>
      <c r="CJ72" s="24" t="str">
        <f t="shared" ca="1" si="9"/>
        <v/>
      </c>
      <c r="CK72" s="5">
        <f>IF(COUNTIF($B$13:B72,B72)+COUNTIF('記載様式（入院患者）'!$CR$13:$CR$22,B72)=1,1,0)</f>
        <v>0</v>
      </c>
      <c r="CL72" s="1">
        <f>SUM($CK$13:CK72)+$CL$11</f>
        <v>0</v>
      </c>
    </row>
    <row r="73" spans="1:90" x14ac:dyDescent="0.15">
      <c r="A73" s="86" t="str">
        <f t="shared" si="7"/>
        <v/>
      </c>
      <c r="B73" s="232"/>
      <c r="C73" s="233"/>
      <c r="D73" s="232"/>
      <c r="E73" s="233"/>
      <c r="F73" s="257"/>
      <c r="G73" s="258"/>
      <c r="H73" s="259"/>
      <c r="I73" s="102"/>
      <c r="J73" s="155"/>
      <c r="K73" s="101"/>
      <c r="L73" s="110"/>
      <c r="M73" s="156"/>
      <c r="N73" s="100"/>
      <c r="O73" s="218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24"/>
      <c r="BW73" s="124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6"/>
      <c r="CI73" s="6" t="b">
        <f t="shared" si="6"/>
        <v>0</v>
      </c>
      <c r="CJ73" s="24" t="str">
        <f t="shared" ca="1" si="9"/>
        <v/>
      </c>
      <c r="CK73" s="5">
        <f>IF(COUNTIF($B$13:B73,B73)+COUNTIF('記載様式（入院患者）'!$CR$13:$CR$22,B73)=1,1,0)</f>
        <v>0</v>
      </c>
      <c r="CL73" s="1">
        <f>SUM($CK$13:CK73)+$CL$11</f>
        <v>0</v>
      </c>
    </row>
    <row r="74" spans="1:90" x14ac:dyDescent="0.15">
      <c r="A74" s="86" t="str">
        <f t="shared" si="7"/>
        <v/>
      </c>
      <c r="B74" s="232"/>
      <c r="C74" s="233"/>
      <c r="D74" s="232"/>
      <c r="E74" s="233"/>
      <c r="F74" s="257"/>
      <c r="G74" s="258"/>
      <c r="H74" s="259"/>
      <c r="I74" s="102"/>
      <c r="J74" s="155"/>
      <c r="K74" s="101"/>
      <c r="L74" s="110"/>
      <c r="M74" s="156"/>
      <c r="N74" s="100"/>
      <c r="O74" s="218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24"/>
      <c r="BW74" s="124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6"/>
      <c r="CI74" s="6" t="b">
        <f t="shared" si="6"/>
        <v>0</v>
      </c>
      <c r="CJ74" s="24" t="str">
        <f t="shared" ca="1" si="9"/>
        <v/>
      </c>
      <c r="CK74" s="5">
        <f>IF(COUNTIF($B$13:B74,B74)+COUNTIF('記載様式（入院患者）'!$CR$13:$CR$22,B74)=1,1,0)</f>
        <v>0</v>
      </c>
      <c r="CL74" s="1">
        <f>SUM($CK$13:CK74)+$CL$11</f>
        <v>0</v>
      </c>
    </row>
    <row r="75" spans="1:90" x14ac:dyDescent="0.15">
      <c r="A75" s="86" t="str">
        <f t="shared" si="7"/>
        <v/>
      </c>
      <c r="B75" s="232"/>
      <c r="C75" s="233"/>
      <c r="D75" s="232"/>
      <c r="E75" s="233"/>
      <c r="F75" s="257"/>
      <c r="G75" s="258"/>
      <c r="H75" s="259"/>
      <c r="I75" s="102"/>
      <c r="J75" s="155"/>
      <c r="K75" s="101"/>
      <c r="L75" s="110"/>
      <c r="M75" s="156"/>
      <c r="N75" s="100"/>
      <c r="O75" s="218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24"/>
      <c r="BW75" s="124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6"/>
      <c r="CI75" s="6" t="b">
        <f t="shared" si="6"/>
        <v>0</v>
      </c>
      <c r="CJ75" s="24" t="str">
        <f t="shared" ca="1" si="9"/>
        <v/>
      </c>
      <c r="CK75" s="5">
        <f>IF(COUNTIF($B$13:B75,B75)+COUNTIF('記載様式（入院患者）'!$CR$13:$CR$22,B75)=1,1,0)</f>
        <v>0</v>
      </c>
      <c r="CL75" s="1">
        <f>SUM($CK$13:CK75)+$CL$11</f>
        <v>0</v>
      </c>
    </row>
    <row r="76" spans="1:90" x14ac:dyDescent="0.15">
      <c r="A76" s="86" t="str">
        <f t="shared" si="7"/>
        <v/>
      </c>
      <c r="B76" s="232"/>
      <c r="C76" s="233"/>
      <c r="D76" s="232"/>
      <c r="E76" s="233"/>
      <c r="F76" s="257"/>
      <c r="G76" s="258"/>
      <c r="H76" s="259"/>
      <c r="I76" s="102"/>
      <c r="J76" s="155"/>
      <c r="K76" s="101"/>
      <c r="L76" s="110"/>
      <c r="M76" s="156"/>
      <c r="N76" s="100"/>
      <c r="O76" s="218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24"/>
      <c r="BW76" s="124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6"/>
      <c r="CI76" s="6" t="b">
        <f t="shared" si="6"/>
        <v>0</v>
      </c>
      <c r="CJ76" s="24" t="str">
        <f t="shared" ca="1" si="9"/>
        <v/>
      </c>
      <c r="CK76" s="5">
        <f>IF(COUNTIF($B$13:B76,B76)+COUNTIF('記載様式（入院患者）'!$CR$13:$CR$22,B76)=1,1,0)</f>
        <v>0</v>
      </c>
      <c r="CL76" s="1">
        <f>SUM($CK$13:CK76)+$CL$11</f>
        <v>0</v>
      </c>
    </row>
    <row r="77" spans="1:90" x14ac:dyDescent="0.15">
      <c r="A77" s="86" t="str">
        <f t="shared" si="7"/>
        <v/>
      </c>
      <c r="B77" s="232"/>
      <c r="C77" s="233"/>
      <c r="D77" s="232"/>
      <c r="E77" s="233"/>
      <c r="F77" s="257"/>
      <c r="G77" s="258"/>
      <c r="H77" s="259"/>
      <c r="I77" s="102"/>
      <c r="J77" s="155"/>
      <c r="K77" s="101"/>
      <c r="L77" s="110"/>
      <c r="M77" s="156"/>
      <c r="N77" s="100"/>
      <c r="O77" s="218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24"/>
      <c r="BW77" s="124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6"/>
      <c r="CI77" s="6" t="b">
        <f t="shared" si="6"/>
        <v>0</v>
      </c>
      <c r="CJ77" s="24" t="str">
        <f t="shared" ca="1" si="9"/>
        <v/>
      </c>
      <c r="CK77" s="5">
        <f>IF(COUNTIF($B$13:B77,B77)+COUNTIF('記載様式（入院患者）'!$CR$13:$CR$22,B77)=1,1,0)</f>
        <v>0</v>
      </c>
      <c r="CL77" s="1">
        <f>SUM($CK$13:CK77)+$CL$11</f>
        <v>0</v>
      </c>
    </row>
    <row r="78" spans="1:90" x14ac:dyDescent="0.15">
      <c r="A78" s="86" t="str">
        <f t="shared" si="7"/>
        <v/>
      </c>
      <c r="B78" s="232"/>
      <c r="C78" s="233"/>
      <c r="D78" s="232"/>
      <c r="E78" s="233"/>
      <c r="F78" s="257"/>
      <c r="G78" s="258"/>
      <c r="H78" s="259"/>
      <c r="I78" s="102"/>
      <c r="J78" s="155"/>
      <c r="K78" s="101"/>
      <c r="L78" s="110"/>
      <c r="M78" s="156"/>
      <c r="N78" s="100"/>
      <c r="O78" s="218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24"/>
      <c r="BW78" s="124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6"/>
      <c r="CI78" s="6" t="b">
        <f t="shared" ref="CI78:CI112" si="10">COUNTIF(O78:BV78,"○")&gt;0</f>
        <v>0</v>
      </c>
      <c r="CJ78" s="24" t="str">
        <f t="shared" ref="CJ78:CJ112" ca="1" si="11">IFERROR(OFFSET($O$9,0,MATCH("○",O78:BV78,0)-1,1,1),"")</f>
        <v/>
      </c>
      <c r="CK78" s="5">
        <f>IF(COUNTIF($B$13:B78,B78)+COUNTIF('記載様式（入院患者）'!$CR$13:$CR$22,B78)=1,1,0)</f>
        <v>0</v>
      </c>
      <c r="CL78" s="1">
        <f>SUM($CK$13:CK78)+$CL$11</f>
        <v>0</v>
      </c>
    </row>
    <row r="79" spans="1:90" x14ac:dyDescent="0.15">
      <c r="A79" s="86" t="str">
        <f t="shared" ref="A79:A112" si="12">IFERROR(IF(B79="","",A78+1),"")</f>
        <v/>
      </c>
      <c r="B79" s="232"/>
      <c r="C79" s="233"/>
      <c r="D79" s="232"/>
      <c r="E79" s="233"/>
      <c r="F79" s="257"/>
      <c r="G79" s="258"/>
      <c r="H79" s="259"/>
      <c r="I79" s="102"/>
      <c r="J79" s="155"/>
      <c r="K79" s="101"/>
      <c r="L79" s="110"/>
      <c r="M79" s="156"/>
      <c r="N79" s="100"/>
      <c r="O79" s="218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24"/>
      <c r="BW79" s="124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6"/>
      <c r="CI79" s="6" t="b">
        <f t="shared" si="10"/>
        <v>0</v>
      </c>
      <c r="CJ79" s="24" t="str">
        <f t="shared" ca="1" si="11"/>
        <v/>
      </c>
      <c r="CK79" s="5">
        <f>IF(COUNTIF($B$13:B79,B79)+COUNTIF('記載様式（入院患者）'!$CR$13:$CR$22,B79)=1,1,0)</f>
        <v>0</v>
      </c>
      <c r="CL79" s="1">
        <f>SUM($CK$13:CK79)+$CL$11</f>
        <v>0</v>
      </c>
    </row>
    <row r="80" spans="1:90" x14ac:dyDescent="0.15">
      <c r="A80" s="86" t="str">
        <f t="shared" si="12"/>
        <v/>
      </c>
      <c r="B80" s="232"/>
      <c r="C80" s="233"/>
      <c r="D80" s="232"/>
      <c r="E80" s="233"/>
      <c r="F80" s="257"/>
      <c r="G80" s="258"/>
      <c r="H80" s="259"/>
      <c r="I80" s="102"/>
      <c r="J80" s="155"/>
      <c r="K80" s="101"/>
      <c r="L80" s="110"/>
      <c r="M80" s="156"/>
      <c r="N80" s="100"/>
      <c r="O80" s="218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24"/>
      <c r="BW80" s="124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6"/>
      <c r="CI80" s="6" t="b">
        <f t="shared" si="10"/>
        <v>0</v>
      </c>
      <c r="CJ80" s="24" t="str">
        <f t="shared" ca="1" si="11"/>
        <v/>
      </c>
      <c r="CK80" s="5">
        <f>IF(COUNTIF($B$13:B80,B80)+COUNTIF('記載様式（入院患者）'!$CR$13:$CR$22,B80)=1,1,0)</f>
        <v>0</v>
      </c>
      <c r="CL80" s="1">
        <f>SUM($CK$13:CK80)+$CL$11</f>
        <v>0</v>
      </c>
    </row>
    <row r="81" spans="1:90" x14ac:dyDescent="0.15">
      <c r="A81" s="86" t="str">
        <f t="shared" si="12"/>
        <v/>
      </c>
      <c r="B81" s="232"/>
      <c r="C81" s="233"/>
      <c r="D81" s="232"/>
      <c r="E81" s="233"/>
      <c r="F81" s="257"/>
      <c r="G81" s="258"/>
      <c r="H81" s="259"/>
      <c r="I81" s="102"/>
      <c r="J81" s="155"/>
      <c r="K81" s="101"/>
      <c r="L81" s="110"/>
      <c r="M81" s="156"/>
      <c r="N81" s="100"/>
      <c r="O81" s="218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24"/>
      <c r="BW81" s="124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6"/>
      <c r="CI81" s="6" t="b">
        <f t="shared" si="10"/>
        <v>0</v>
      </c>
      <c r="CJ81" s="24" t="str">
        <f t="shared" ca="1" si="11"/>
        <v/>
      </c>
      <c r="CK81" s="5">
        <f>IF(COUNTIF($B$13:B81,B81)+COUNTIF('記載様式（入院患者）'!$CR$13:$CR$22,B81)=1,1,0)</f>
        <v>0</v>
      </c>
      <c r="CL81" s="1">
        <f>SUM($CK$13:CK81)+$CL$11</f>
        <v>0</v>
      </c>
    </row>
    <row r="82" spans="1:90" x14ac:dyDescent="0.15">
      <c r="A82" s="86" t="str">
        <f t="shared" si="12"/>
        <v/>
      </c>
      <c r="B82" s="232"/>
      <c r="C82" s="233"/>
      <c r="D82" s="232"/>
      <c r="E82" s="233"/>
      <c r="F82" s="257"/>
      <c r="G82" s="258"/>
      <c r="H82" s="259"/>
      <c r="I82" s="102"/>
      <c r="J82" s="155"/>
      <c r="K82" s="101"/>
      <c r="L82" s="110"/>
      <c r="M82" s="156"/>
      <c r="N82" s="100"/>
      <c r="O82" s="218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24"/>
      <c r="BW82" s="124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6"/>
      <c r="CI82" s="6" t="b">
        <f t="shared" si="10"/>
        <v>0</v>
      </c>
      <c r="CJ82" s="24" t="str">
        <f t="shared" ca="1" si="11"/>
        <v/>
      </c>
      <c r="CK82" s="5">
        <f>IF(COUNTIF($B$13:B82,B82)+COUNTIF('記載様式（入院患者）'!$CR$13:$CR$22,B82)=1,1,0)</f>
        <v>0</v>
      </c>
      <c r="CL82" s="1">
        <f>SUM($CK$13:CK82)+$CL$11</f>
        <v>0</v>
      </c>
    </row>
    <row r="83" spans="1:90" x14ac:dyDescent="0.15">
      <c r="A83" s="86" t="str">
        <f t="shared" si="12"/>
        <v/>
      </c>
      <c r="B83" s="232"/>
      <c r="C83" s="233"/>
      <c r="D83" s="232"/>
      <c r="E83" s="233"/>
      <c r="F83" s="257"/>
      <c r="G83" s="258"/>
      <c r="H83" s="259"/>
      <c r="I83" s="102"/>
      <c r="J83" s="155"/>
      <c r="K83" s="101"/>
      <c r="L83" s="110"/>
      <c r="M83" s="156"/>
      <c r="N83" s="100"/>
      <c r="O83" s="218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24"/>
      <c r="BW83" s="124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6"/>
      <c r="CI83" s="6" t="b">
        <f t="shared" si="10"/>
        <v>0</v>
      </c>
      <c r="CJ83" s="24" t="str">
        <f t="shared" ca="1" si="11"/>
        <v/>
      </c>
      <c r="CK83" s="5">
        <f>IF(COUNTIF($B$13:B83,B83)+COUNTIF('記載様式（入院患者）'!$CR$13:$CR$22,B83)=1,1,0)</f>
        <v>0</v>
      </c>
      <c r="CL83" s="1">
        <f>SUM($CK$13:CK83)+$CL$11</f>
        <v>0</v>
      </c>
    </row>
    <row r="84" spans="1:90" x14ac:dyDescent="0.15">
      <c r="A84" s="86" t="str">
        <f t="shared" si="12"/>
        <v/>
      </c>
      <c r="B84" s="232"/>
      <c r="C84" s="233"/>
      <c r="D84" s="232"/>
      <c r="E84" s="233"/>
      <c r="F84" s="257"/>
      <c r="G84" s="258"/>
      <c r="H84" s="259"/>
      <c r="I84" s="102"/>
      <c r="J84" s="155"/>
      <c r="K84" s="101"/>
      <c r="L84" s="110"/>
      <c r="M84" s="156"/>
      <c r="N84" s="100"/>
      <c r="O84" s="218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24"/>
      <c r="BW84" s="124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6"/>
      <c r="CI84" s="6" t="b">
        <f t="shared" si="10"/>
        <v>0</v>
      </c>
      <c r="CJ84" s="24" t="str">
        <f t="shared" ca="1" si="11"/>
        <v/>
      </c>
      <c r="CK84" s="5">
        <f>IF(COUNTIF($B$13:B84,B84)+COUNTIF('記載様式（入院患者）'!$CR$13:$CR$22,B84)=1,1,0)</f>
        <v>0</v>
      </c>
      <c r="CL84" s="1">
        <f>SUM($CK$13:CK84)+$CL$11</f>
        <v>0</v>
      </c>
    </row>
    <row r="85" spans="1:90" x14ac:dyDescent="0.15">
      <c r="A85" s="86" t="str">
        <f t="shared" si="12"/>
        <v/>
      </c>
      <c r="B85" s="232"/>
      <c r="C85" s="233"/>
      <c r="D85" s="232"/>
      <c r="E85" s="233"/>
      <c r="F85" s="257"/>
      <c r="G85" s="258"/>
      <c r="H85" s="259"/>
      <c r="I85" s="102"/>
      <c r="J85" s="155"/>
      <c r="K85" s="101"/>
      <c r="L85" s="110"/>
      <c r="M85" s="156"/>
      <c r="N85" s="100"/>
      <c r="O85" s="218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24"/>
      <c r="BW85" s="124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6"/>
      <c r="CI85" s="6" t="b">
        <f t="shared" si="10"/>
        <v>0</v>
      </c>
      <c r="CJ85" s="24" t="str">
        <f t="shared" ca="1" si="11"/>
        <v/>
      </c>
      <c r="CK85" s="5">
        <f>IF(COUNTIF($B$13:B85,B85)+COUNTIF('記載様式（入院患者）'!$CR$13:$CR$22,B85)=1,1,0)</f>
        <v>0</v>
      </c>
      <c r="CL85" s="1">
        <f>SUM($CK$13:CK85)+$CL$11</f>
        <v>0</v>
      </c>
    </row>
    <row r="86" spans="1:90" x14ac:dyDescent="0.15">
      <c r="A86" s="86" t="str">
        <f t="shared" si="12"/>
        <v/>
      </c>
      <c r="B86" s="232"/>
      <c r="C86" s="233"/>
      <c r="D86" s="232"/>
      <c r="E86" s="233"/>
      <c r="F86" s="257"/>
      <c r="G86" s="258"/>
      <c r="H86" s="259"/>
      <c r="I86" s="102"/>
      <c r="J86" s="155"/>
      <c r="K86" s="101"/>
      <c r="L86" s="110"/>
      <c r="M86" s="156"/>
      <c r="N86" s="100"/>
      <c r="O86" s="218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24"/>
      <c r="BW86" s="124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6"/>
      <c r="CI86" s="6" t="b">
        <f t="shared" si="10"/>
        <v>0</v>
      </c>
      <c r="CJ86" s="24" t="str">
        <f t="shared" ca="1" si="11"/>
        <v/>
      </c>
      <c r="CK86" s="5">
        <f>IF(COUNTIF($B$13:B86,B86)+COUNTIF('記載様式（入院患者）'!$CR$13:$CR$22,B86)=1,1,0)</f>
        <v>0</v>
      </c>
      <c r="CL86" s="1">
        <f>SUM($CK$13:CK86)+$CL$11</f>
        <v>0</v>
      </c>
    </row>
    <row r="87" spans="1:90" x14ac:dyDescent="0.15">
      <c r="A87" s="86" t="str">
        <f t="shared" si="12"/>
        <v/>
      </c>
      <c r="B87" s="232"/>
      <c r="C87" s="233"/>
      <c r="D87" s="232"/>
      <c r="E87" s="233"/>
      <c r="F87" s="257"/>
      <c r="G87" s="258"/>
      <c r="H87" s="259"/>
      <c r="I87" s="102"/>
      <c r="J87" s="155"/>
      <c r="K87" s="101"/>
      <c r="L87" s="110"/>
      <c r="M87" s="156"/>
      <c r="N87" s="100"/>
      <c r="O87" s="218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24"/>
      <c r="BW87" s="124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6"/>
      <c r="CI87" s="6" t="b">
        <f t="shared" si="10"/>
        <v>0</v>
      </c>
      <c r="CJ87" s="24" t="str">
        <f t="shared" ca="1" si="11"/>
        <v/>
      </c>
      <c r="CK87" s="5">
        <f>IF(COUNTIF($B$13:B87,B87)+COUNTIF('記載様式（入院患者）'!$CR$13:$CR$22,B87)=1,1,0)</f>
        <v>0</v>
      </c>
      <c r="CL87" s="1">
        <f>SUM($CK$13:CK87)+$CL$11</f>
        <v>0</v>
      </c>
    </row>
    <row r="88" spans="1:90" x14ac:dyDescent="0.15">
      <c r="A88" s="86" t="str">
        <f t="shared" si="12"/>
        <v/>
      </c>
      <c r="B88" s="232"/>
      <c r="C88" s="233"/>
      <c r="D88" s="232"/>
      <c r="E88" s="233"/>
      <c r="F88" s="257"/>
      <c r="G88" s="258"/>
      <c r="H88" s="259"/>
      <c r="I88" s="102"/>
      <c r="J88" s="155"/>
      <c r="K88" s="101"/>
      <c r="L88" s="110"/>
      <c r="M88" s="156"/>
      <c r="N88" s="100"/>
      <c r="O88" s="218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24"/>
      <c r="BW88" s="124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6"/>
      <c r="CI88" s="6" t="b">
        <f t="shared" si="10"/>
        <v>0</v>
      </c>
      <c r="CJ88" s="24" t="str">
        <f t="shared" ca="1" si="11"/>
        <v/>
      </c>
      <c r="CK88" s="5">
        <f>IF(COUNTIF($B$13:B88,B88)+COUNTIF('記載様式（入院患者）'!$CR$13:$CR$22,B88)=1,1,0)</f>
        <v>0</v>
      </c>
      <c r="CL88" s="1">
        <f>SUM($CK$13:CK88)+$CL$11</f>
        <v>0</v>
      </c>
    </row>
    <row r="89" spans="1:90" x14ac:dyDescent="0.15">
      <c r="A89" s="86" t="str">
        <f t="shared" si="12"/>
        <v/>
      </c>
      <c r="B89" s="232"/>
      <c r="C89" s="233"/>
      <c r="D89" s="232"/>
      <c r="E89" s="233"/>
      <c r="F89" s="257"/>
      <c r="G89" s="258"/>
      <c r="H89" s="259"/>
      <c r="I89" s="102"/>
      <c r="J89" s="155"/>
      <c r="K89" s="101"/>
      <c r="L89" s="110"/>
      <c r="M89" s="156"/>
      <c r="N89" s="100"/>
      <c r="O89" s="218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24"/>
      <c r="BW89" s="124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6"/>
      <c r="CI89" s="6" t="b">
        <f t="shared" si="10"/>
        <v>0</v>
      </c>
      <c r="CJ89" s="24" t="str">
        <f t="shared" ca="1" si="11"/>
        <v/>
      </c>
      <c r="CK89" s="5">
        <f>IF(COUNTIF($B$13:B89,B89)+COUNTIF('記載様式（入院患者）'!$CR$13:$CR$22,B89)=1,1,0)</f>
        <v>0</v>
      </c>
      <c r="CL89" s="1">
        <f>SUM($CK$13:CK89)+$CL$11</f>
        <v>0</v>
      </c>
    </row>
    <row r="90" spans="1:90" x14ac:dyDescent="0.15">
      <c r="A90" s="86" t="str">
        <f t="shared" si="12"/>
        <v/>
      </c>
      <c r="B90" s="232"/>
      <c r="C90" s="233"/>
      <c r="D90" s="232"/>
      <c r="E90" s="233"/>
      <c r="F90" s="257"/>
      <c r="G90" s="258"/>
      <c r="H90" s="259"/>
      <c r="I90" s="102"/>
      <c r="J90" s="155"/>
      <c r="K90" s="101"/>
      <c r="L90" s="110"/>
      <c r="M90" s="156"/>
      <c r="N90" s="100"/>
      <c r="O90" s="218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24"/>
      <c r="BW90" s="124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6"/>
      <c r="CI90" s="6" t="b">
        <f t="shared" si="10"/>
        <v>0</v>
      </c>
      <c r="CJ90" s="24" t="str">
        <f t="shared" ca="1" si="11"/>
        <v/>
      </c>
      <c r="CK90" s="5">
        <f>IF(COUNTIF($B$13:B90,B90)+COUNTIF('記載様式（入院患者）'!$CR$13:$CR$22,B90)=1,1,0)</f>
        <v>0</v>
      </c>
      <c r="CL90" s="1">
        <f>SUM($CK$13:CK90)+$CL$11</f>
        <v>0</v>
      </c>
    </row>
    <row r="91" spans="1:90" x14ac:dyDescent="0.15">
      <c r="A91" s="86" t="str">
        <f t="shared" si="12"/>
        <v/>
      </c>
      <c r="B91" s="232"/>
      <c r="C91" s="233"/>
      <c r="D91" s="232"/>
      <c r="E91" s="233"/>
      <c r="F91" s="257"/>
      <c r="G91" s="258"/>
      <c r="H91" s="259"/>
      <c r="I91" s="102"/>
      <c r="J91" s="155"/>
      <c r="K91" s="101"/>
      <c r="L91" s="110"/>
      <c r="M91" s="156"/>
      <c r="N91" s="100"/>
      <c r="O91" s="218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24"/>
      <c r="BW91" s="124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6"/>
      <c r="CI91" s="6" t="b">
        <f t="shared" si="10"/>
        <v>0</v>
      </c>
      <c r="CJ91" s="24" t="str">
        <f t="shared" ca="1" si="11"/>
        <v/>
      </c>
      <c r="CK91" s="5">
        <f>IF(COUNTIF($B$13:B91,B91)+COUNTIF('記載様式（入院患者）'!$CR$13:$CR$22,B91)=1,1,0)</f>
        <v>0</v>
      </c>
      <c r="CL91" s="1">
        <f>SUM($CK$13:CK91)+$CL$11</f>
        <v>0</v>
      </c>
    </row>
    <row r="92" spans="1:90" x14ac:dyDescent="0.15">
      <c r="A92" s="86" t="str">
        <f t="shared" si="12"/>
        <v/>
      </c>
      <c r="B92" s="232"/>
      <c r="C92" s="233"/>
      <c r="D92" s="232"/>
      <c r="E92" s="233"/>
      <c r="F92" s="257"/>
      <c r="G92" s="258"/>
      <c r="H92" s="259"/>
      <c r="I92" s="102"/>
      <c r="J92" s="155"/>
      <c r="K92" s="101"/>
      <c r="L92" s="110"/>
      <c r="M92" s="156"/>
      <c r="N92" s="100"/>
      <c r="O92" s="218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24"/>
      <c r="BW92" s="124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6"/>
      <c r="CI92" s="6" t="b">
        <f t="shared" si="10"/>
        <v>0</v>
      </c>
      <c r="CJ92" s="24" t="str">
        <f t="shared" ca="1" si="11"/>
        <v/>
      </c>
      <c r="CK92" s="5">
        <f>IF(COUNTIF($B$13:B92,B92)+COUNTIF('記載様式（入院患者）'!$CR$13:$CR$22,B92)=1,1,0)</f>
        <v>0</v>
      </c>
      <c r="CL92" s="1">
        <f>SUM($CK$13:CK92)+$CL$11</f>
        <v>0</v>
      </c>
    </row>
    <row r="93" spans="1:90" x14ac:dyDescent="0.15">
      <c r="A93" s="86" t="str">
        <f t="shared" si="12"/>
        <v/>
      </c>
      <c r="B93" s="232"/>
      <c r="C93" s="233"/>
      <c r="D93" s="232"/>
      <c r="E93" s="233"/>
      <c r="F93" s="257"/>
      <c r="G93" s="258"/>
      <c r="H93" s="259"/>
      <c r="I93" s="102"/>
      <c r="J93" s="155"/>
      <c r="K93" s="101"/>
      <c r="L93" s="110"/>
      <c r="M93" s="156"/>
      <c r="N93" s="100"/>
      <c r="O93" s="218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24"/>
      <c r="BW93" s="124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6"/>
      <c r="CI93" s="6" t="b">
        <f t="shared" si="10"/>
        <v>0</v>
      </c>
      <c r="CJ93" s="24" t="str">
        <f t="shared" ca="1" si="11"/>
        <v/>
      </c>
      <c r="CK93" s="5">
        <f>IF(COUNTIF($B$13:B93,B93)+COUNTIF('記載様式（入院患者）'!$CR$13:$CR$22,B93)=1,1,0)</f>
        <v>0</v>
      </c>
      <c r="CL93" s="1">
        <f>SUM($CK$13:CK93)+$CL$11</f>
        <v>0</v>
      </c>
    </row>
    <row r="94" spans="1:90" x14ac:dyDescent="0.15">
      <c r="A94" s="86" t="str">
        <f t="shared" si="12"/>
        <v/>
      </c>
      <c r="B94" s="232"/>
      <c r="C94" s="233"/>
      <c r="D94" s="232"/>
      <c r="E94" s="233"/>
      <c r="F94" s="257"/>
      <c r="G94" s="258"/>
      <c r="H94" s="259"/>
      <c r="I94" s="102"/>
      <c r="J94" s="155"/>
      <c r="K94" s="101"/>
      <c r="L94" s="110"/>
      <c r="M94" s="156"/>
      <c r="N94" s="100"/>
      <c r="O94" s="218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24"/>
      <c r="BW94" s="124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6"/>
      <c r="CI94" s="6" t="b">
        <f t="shared" si="10"/>
        <v>0</v>
      </c>
      <c r="CJ94" s="24" t="str">
        <f t="shared" ca="1" si="11"/>
        <v/>
      </c>
      <c r="CK94" s="5">
        <f>IF(COUNTIF($B$13:B94,B94)+COUNTIF('記載様式（入院患者）'!$CR$13:$CR$22,B94)=1,1,0)</f>
        <v>0</v>
      </c>
      <c r="CL94" s="1">
        <f>SUM($CK$13:CK94)+$CL$11</f>
        <v>0</v>
      </c>
    </row>
    <row r="95" spans="1:90" x14ac:dyDescent="0.15">
      <c r="A95" s="86" t="str">
        <f t="shared" si="12"/>
        <v/>
      </c>
      <c r="B95" s="232"/>
      <c r="C95" s="233"/>
      <c r="D95" s="232"/>
      <c r="E95" s="233"/>
      <c r="F95" s="257"/>
      <c r="G95" s="258"/>
      <c r="H95" s="259"/>
      <c r="I95" s="102"/>
      <c r="J95" s="155"/>
      <c r="K95" s="101"/>
      <c r="L95" s="110"/>
      <c r="M95" s="156"/>
      <c r="N95" s="100"/>
      <c r="O95" s="218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24"/>
      <c r="BW95" s="124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6"/>
      <c r="CI95" s="6" t="b">
        <f t="shared" si="10"/>
        <v>0</v>
      </c>
      <c r="CJ95" s="24" t="str">
        <f t="shared" ca="1" si="11"/>
        <v/>
      </c>
      <c r="CK95" s="5">
        <f>IF(COUNTIF($B$13:B95,B95)+COUNTIF('記載様式（入院患者）'!$CR$13:$CR$22,B95)=1,1,0)</f>
        <v>0</v>
      </c>
      <c r="CL95" s="1">
        <f>SUM($CK$13:CK95)+$CL$11</f>
        <v>0</v>
      </c>
    </row>
    <row r="96" spans="1:90" x14ac:dyDescent="0.15">
      <c r="A96" s="86" t="str">
        <f t="shared" si="12"/>
        <v/>
      </c>
      <c r="B96" s="232"/>
      <c r="C96" s="233"/>
      <c r="D96" s="232"/>
      <c r="E96" s="233"/>
      <c r="F96" s="257"/>
      <c r="G96" s="258"/>
      <c r="H96" s="259"/>
      <c r="I96" s="102"/>
      <c r="J96" s="155"/>
      <c r="K96" s="101"/>
      <c r="L96" s="110"/>
      <c r="M96" s="156"/>
      <c r="N96" s="100"/>
      <c r="O96" s="218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24"/>
      <c r="BW96" s="124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6"/>
      <c r="CI96" s="6" t="b">
        <f t="shared" si="10"/>
        <v>0</v>
      </c>
      <c r="CJ96" s="24" t="str">
        <f t="shared" ca="1" si="11"/>
        <v/>
      </c>
      <c r="CK96" s="5">
        <f>IF(COUNTIF($B$13:B96,B96)+COUNTIF('記載様式（入院患者）'!$CR$13:$CR$22,B96)=1,1,0)</f>
        <v>0</v>
      </c>
      <c r="CL96" s="1">
        <f>SUM($CK$13:CK96)+$CL$11</f>
        <v>0</v>
      </c>
    </row>
    <row r="97" spans="1:90" x14ac:dyDescent="0.15">
      <c r="A97" s="86" t="str">
        <f t="shared" si="12"/>
        <v/>
      </c>
      <c r="B97" s="232"/>
      <c r="C97" s="233"/>
      <c r="D97" s="232"/>
      <c r="E97" s="233"/>
      <c r="F97" s="257"/>
      <c r="G97" s="258"/>
      <c r="H97" s="259"/>
      <c r="I97" s="102"/>
      <c r="J97" s="155"/>
      <c r="K97" s="101"/>
      <c r="L97" s="110"/>
      <c r="M97" s="156"/>
      <c r="N97" s="100"/>
      <c r="O97" s="218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24"/>
      <c r="BW97" s="124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6"/>
      <c r="CI97" s="6" t="b">
        <f t="shared" si="10"/>
        <v>0</v>
      </c>
      <c r="CJ97" s="24" t="str">
        <f t="shared" ca="1" si="11"/>
        <v/>
      </c>
      <c r="CK97" s="5">
        <f>IF(COUNTIF($B$13:B97,B97)+COUNTIF('記載様式（入院患者）'!$CR$13:$CR$22,B97)=1,1,0)</f>
        <v>0</v>
      </c>
      <c r="CL97" s="1">
        <f>SUM($CK$13:CK97)+$CL$11</f>
        <v>0</v>
      </c>
    </row>
    <row r="98" spans="1:90" x14ac:dyDescent="0.15">
      <c r="A98" s="86" t="str">
        <f t="shared" si="12"/>
        <v/>
      </c>
      <c r="B98" s="232"/>
      <c r="C98" s="233"/>
      <c r="D98" s="232"/>
      <c r="E98" s="233"/>
      <c r="F98" s="257"/>
      <c r="G98" s="258"/>
      <c r="H98" s="259"/>
      <c r="I98" s="102"/>
      <c r="J98" s="155"/>
      <c r="K98" s="101"/>
      <c r="L98" s="110"/>
      <c r="M98" s="156"/>
      <c r="N98" s="100"/>
      <c r="O98" s="218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24"/>
      <c r="BW98" s="124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6"/>
      <c r="CI98" s="6" t="b">
        <f t="shared" si="10"/>
        <v>0</v>
      </c>
      <c r="CJ98" s="24" t="str">
        <f t="shared" ca="1" si="11"/>
        <v/>
      </c>
      <c r="CK98" s="5">
        <f>IF(COUNTIF($B$13:B98,B98)+COUNTIF('記載様式（入院患者）'!$CR$13:$CR$22,B98)=1,1,0)</f>
        <v>0</v>
      </c>
      <c r="CL98" s="1">
        <f>SUM($CK$13:CK98)+$CL$11</f>
        <v>0</v>
      </c>
    </row>
    <row r="99" spans="1:90" x14ac:dyDescent="0.15">
      <c r="A99" s="86" t="str">
        <f t="shared" si="12"/>
        <v/>
      </c>
      <c r="B99" s="232"/>
      <c r="C99" s="233"/>
      <c r="D99" s="232"/>
      <c r="E99" s="233"/>
      <c r="F99" s="257"/>
      <c r="G99" s="258"/>
      <c r="H99" s="259"/>
      <c r="I99" s="102"/>
      <c r="J99" s="155"/>
      <c r="K99" s="101"/>
      <c r="L99" s="110"/>
      <c r="M99" s="156"/>
      <c r="N99" s="100"/>
      <c r="O99" s="218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24"/>
      <c r="BW99" s="124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6"/>
      <c r="CI99" s="6" t="b">
        <f t="shared" si="10"/>
        <v>0</v>
      </c>
      <c r="CJ99" s="24" t="str">
        <f t="shared" ca="1" si="11"/>
        <v/>
      </c>
      <c r="CK99" s="5">
        <f>IF(COUNTIF($B$13:B99,B99)+COUNTIF('記載様式（入院患者）'!$CR$13:$CR$22,B99)=1,1,0)</f>
        <v>0</v>
      </c>
      <c r="CL99" s="1">
        <f>SUM($CK$13:CK99)+$CL$11</f>
        <v>0</v>
      </c>
    </row>
    <row r="100" spans="1:90" x14ac:dyDescent="0.15">
      <c r="A100" s="86" t="str">
        <f t="shared" si="12"/>
        <v/>
      </c>
      <c r="B100" s="232"/>
      <c r="C100" s="233"/>
      <c r="D100" s="232"/>
      <c r="E100" s="233"/>
      <c r="F100" s="257"/>
      <c r="G100" s="258"/>
      <c r="H100" s="259"/>
      <c r="I100" s="102"/>
      <c r="J100" s="155"/>
      <c r="K100" s="101"/>
      <c r="L100" s="110"/>
      <c r="M100" s="156"/>
      <c r="N100" s="100"/>
      <c r="O100" s="218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24"/>
      <c r="BW100" s="124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6"/>
      <c r="CI100" s="6" t="b">
        <f t="shared" si="10"/>
        <v>0</v>
      </c>
      <c r="CJ100" s="24" t="str">
        <f t="shared" ca="1" si="11"/>
        <v/>
      </c>
      <c r="CK100" s="5">
        <f>IF(COUNTIF($B$13:B100,B100)+COUNTIF('記載様式（入院患者）'!$CR$13:$CR$22,B100)=1,1,0)</f>
        <v>0</v>
      </c>
      <c r="CL100" s="1">
        <f>SUM($CK$13:CK100)+$CL$11</f>
        <v>0</v>
      </c>
    </row>
    <row r="101" spans="1:90" x14ac:dyDescent="0.15">
      <c r="A101" s="86" t="str">
        <f t="shared" si="12"/>
        <v/>
      </c>
      <c r="B101" s="232"/>
      <c r="C101" s="233"/>
      <c r="D101" s="232"/>
      <c r="E101" s="233"/>
      <c r="F101" s="257"/>
      <c r="G101" s="258"/>
      <c r="H101" s="259"/>
      <c r="I101" s="102"/>
      <c r="J101" s="155"/>
      <c r="K101" s="101"/>
      <c r="L101" s="110"/>
      <c r="M101" s="156"/>
      <c r="N101" s="100"/>
      <c r="O101" s="218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24"/>
      <c r="BW101" s="124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6"/>
      <c r="CI101" s="6" t="b">
        <f t="shared" si="10"/>
        <v>0</v>
      </c>
      <c r="CJ101" s="24" t="str">
        <f t="shared" ca="1" si="11"/>
        <v/>
      </c>
      <c r="CK101" s="5">
        <f>IF(COUNTIF($B$13:B101,B101)+COUNTIF('記載様式（入院患者）'!$CR$13:$CR$22,B101)=1,1,0)</f>
        <v>0</v>
      </c>
      <c r="CL101" s="1">
        <f>SUM($CK$13:CK101)+$CL$11</f>
        <v>0</v>
      </c>
    </row>
    <row r="102" spans="1:90" x14ac:dyDescent="0.15">
      <c r="A102" s="86" t="str">
        <f t="shared" si="12"/>
        <v/>
      </c>
      <c r="B102" s="232"/>
      <c r="C102" s="233"/>
      <c r="D102" s="232"/>
      <c r="E102" s="233"/>
      <c r="F102" s="257"/>
      <c r="G102" s="258"/>
      <c r="H102" s="259"/>
      <c r="I102" s="102"/>
      <c r="J102" s="155"/>
      <c r="K102" s="101"/>
      <c r="L102" s="110"/>
      <c r="M102" s="156"/>
      <c r="N102" s="100"/>
      <c r="O102" s="218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24"/>
      <c r="BW102" s="124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6"/>
      <c r="CI102" s="6" t="b">
        <f t="shared" si="10"/>
        <v>0</v>
      </c>
      <c r="CJ102" s="24" t="str">
        <f t="shared" ca="1" si="11"/>
        <v/>
      </c>
      <c r="CK102" s="5">
        <f>IF(COUNTIF($B$13:B102,B102)+COUNTIF('記載様式（入院患者）'!$CR$13:$CR$22,B102)=1,1,0)</f>
        <v>0</v>
      </c>
      <c r="CL102" s="1">
        <f>SUM($CK$13:CK102)+$CL$11</f>
        <v>0</v>
      </c>
    </row>
    <row r="103" spans="1:90" x14ac:dyDescent="0.15">
      <c r="A103" s="86" t="str">
        <f t="shared" si="12"/>
        <v/>
      </c>
      <c r="B103" s="232"/>
      <c r="C103" s="233"/>
      <c r="D103" s="232"/>
      <c r="E103" s="233"/>
      <c r="F103" s="257"/>
      <c r="G103" s="258"/>
      <c r="H103" s="259"/>
      <c r="I103" s="102"/>
      <c r="J103" s="155"/>
      <c r="K103" s="101"/>
      <c r="L103" s="110"/>
      <c r="M103" s="156"/>
      <c r="N103" s="100"/>
      <c r="O103" s="218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24"/>
      <c r="BW103" s="124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6"/>
      <c r="CI103" s="6" t="b">
        <f t="shared" si="10"/>
        <v>0</v>
      </c>
      <c r="CJ103" s="24" t="str">
        <f t="shared" ca="1" si="11"/>
        <v/>
      </c>
      <c r="CK103" s="5">
        <f>IF(COUNTIF($B$13:B103,B103)+COUNTIF('記載様式（入院患者）'!$CR$13:$CR$22,B103)=1,1,0)</f>
        <v>0</v>
      </c>
      <c r="CL103" s="1">
        <f>SUM($CK$13:CK103)+$CL$11</f>
        <v>0</v>
      </c>
    </row>
    <row r="104" spans="1:90" x14ac:dyDescent="0.15">
      <c r="A104" s="86" t="str">
        <f t="shared" si="12"/>
        <v/>
      </c>
      <c r="B104" s="232"/>
      <c r="C104" s="233"/>
      <c r="D104" s="232"/>
      <c r="E104" s="233"/>
      <c r="F104" s="257"/>
      <c r="G104" s="258"/>
      <c r="H104" s="259"/>
      <c r="I104" s="102"/>
      <c r="J104" s="155"/>
      <c r="K104" s="101"/>
      <c r="L104" s="110"/>
      <c r="M104" s="156"/>
      <c r="N104" s="100"/>
      <c r="O104" s="218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24"/>
      <c r="BW104" s="124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6"/>
      <c r="CI104" s="6" t="b">
        <f t="shared" si="10"/>
        <v>0</v>
      </c>
      <c r="CJ104" s="24" t="str">
        <f t="shared" ca="1" si="11"/>
        <v/>
      </c>
      <c r="CK104" s="5">
        <f>IF(COUNTIF($B$13:B104,B104)+COUNTIF('記載様式（入院患者）'!$CR$13:$CR$22,B104)=1,1,0)</f>
        <v>0</v>
      </c>
      <c r="CL104" s="1">
        <f>SUM($CK$13:CK104)+$CL$11</f>
        <v>0</v>
      </c>
    </row>
    <row r="105" spans="1:90" x14ac:dyDescent="0.15">
      <c r="A105" s="86" t="str">
        <f t="shared" si="12"/>
        <v/>
      </c>
      <c r="B105" s="232"/>
      <c r="C105" s="233"/>
      <c r="D105" s="232"/>
      <c r="E105" s="233"/>
      <c r="F105" s="257"/>
      <c r="G105" s="258"/>
      <c r="H105" s="259"/>
      <c r="I105" s="102"/>
      <c r="J105" s="155"/>
      <c r="K105" s="101"/>
      <c r="L105" s="110"/>
      <c r="M105" s="156"/>
      <c r="N105" s="100"/>
      <c r="O105" s="218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24"/>
      <c r="BW105" s="124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6"/>
      <c r="CI105" s="6" t="b">
        <f t="shared" si="10"/>
        <v>0</v>
      </c>
      <c r="CJ105" s="24" t="str">
        <f t="shared" ca="1" si="11"/>
        <v/>
      </c>
      <c r="CK105" s="5">
        <f>IF(COUNTIF($B$13:B105,B105)+COUNTIF('記載様式（入院患者）'!$CR$13:$CR$22,B105)=1,1,0)</f>
        <v>0</v>
      </c>
      <c r="CL105" s="1">
        <f>SUM($CK$13:CK105)+$CL$11</f>
        <v>0</v>
      </c>
    </row>
    <row r="106" spans="1:90" x14ac:dyDescent="0.15">
      <c r="A106" s="86" t="str">
        <f t="shared" si="12"/>
        <v/>
      </c>
      <c r="B106" s="232"/>
      <c r="C106" s="233"/>
      <c r="D106" s="232"/>
      <c r="E106" s="233"/>
      <c r="F106" s="257"/>
      <c r="G106" s="258"/>
      <c r="H106" s="259"/>
      <c r="I106" s="102"/>
      <c r="J106" s="155"/>
      <c r="K106" s="101"/>
      <c r="L106" s="110"/>
      <c r="M106" s="156"/>
      <c r="N106" s="100"/>
      <c r="O106" s="218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24"/>
      <c r="BW106" s="124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6"/>
      <c r="CI106" s="6" t="b">
        <f t="shared" si="10"/>
        <v>0</v>
      </c>
      <c r="CJ106" s="24" t="str">
        <f t="shared" ca="1" si="11"/>
        <v/>
      </c>
      <c r="CK106" s="5">
        <f>IF(COUNTIF($B$13:B106,B106)+COUNTIF('記載様式（入院患者）'!$CR$13:$CR$22,B106)=1,1,0)</f>
        <v>0</v>
      </c>
      <c r="CL106" s="1">
        <f>SUM($CK$13:CK106)+$CL$11</f>
        <v>0</v>
      </c>
    </row>
    <row r="107" spans="1:90" x14ac:dyDescent="0.15">
      <c r="A107" s="86" t="str">
        <f t="shared" si="12"/>
        <v/>
      </c>
      <c r="B107" s="232"/>
      <c r="C107" s="233"/>
      <c r="D107" s="232"/>
      <c r="E107" s="233"/>
      <c r="F107" s="257"/>
      <c r="G107" s="258"/>
      <c r="H107" s="259"/>
      <c r="I107" s="102"/>
      <c r="J107" s="155"/>
      <c r="K107" s="101"/>
      <c r="L107" s="110"/>
      <c r="M107" s="156"/>
      <c r="N107" s="100"/>
      <c r="O107" s="218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24"/>
      <c r="BW107" s="124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6"/>
      <c r="CI107" s="6" t="b">
        <f t="shared" si="10"/>
        <v>0</v>
      </c>
      <c r="CJ107" s="24" t="str">
        <f t="shared" ca="1" si="11"/>
        <v/>
      </c>
      <c r="CK107" s="5">
        <f>IF(COUNTIF($B$13:B107,B107)+COUNTIF('記載様式（入院患者）'!$CR$13:$CR$22,B107)=1,1,0)</f>
        <v>0</v>
      </c>
      <c r="CL107" s="1">
        <f>SUM($CK$13:CK107)+$CL$11</f>
        <v>0</v>
      </c>
    </row>
    <row r="108" spans="1:90" x14ac:dyDescent="0.15">
      <c r="A108" s="86" t="str">
        <f t="shared" si="12"/>
        <v/>
      </c>
      <c r="B108" s="232"/>
      <c r="C108" s="233"/>
      <c r="D108" s="232"/>
      <c r="E108" s="233"/>
      <c r="F108" s="257"/>
      <c r="G108" s="258"/>
      <c r="H108" s="259"/>
      <c r="I108" s="102"/>
      <c r="J108" s="155"/>
      <c r="K108" s="101"/>
      <c r="L108" s="110"/>
      <c r="M108" s="156"/>
      <c r="N108" s="100"/>
      <c r="O108" s="218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24"/>
      <c r="BW108" s="124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6"/>
      <c r="CI108" s="6" t="b">
        <f t="shared" si="10"/>
        <v>0</v>
      </c>
      <c r="CJ108" s="24" t="str">
        <f t="shared" ca="1" si="11"/>
        <v/>
      </c>
      <c r="CK108" s="5">
        <f>IF(COUNTIF($B$13:B108,B108)+COUNTIF('記載様式（入院患者）'!$CR$13:$CR$22,B108)=1,1,0)</f>
        <v>0</v>
      </c>
      <c r="CL108" s="1">
        <f>SUM($CK$13:CK108)+$CL$11</f>
        <v>0</v>
      </c>
    </row>
    <row r="109" spans="1:90" x14ac:dyDescent="0.15">
      <c r="A109" s="86" t="str">
        <f t="shared" si="12"/>
        <v/>
      </c>
      <c r="B109" s="232"/>
      <c r="C109" s="233"/>
      <c r="D109" s="232"/>
      <c r="E109" s="233"/>
      <c r="F109" s="257"/>
      <c r="G109" s="258"/>
      <c r="H109" s="259"/>
      <c r="I109" s="102"/>
      <c r="J109" s="155"/>
      <c r="K109" s="101"/>
      <c r="L109" s="110"/>
      <c r="M109" s="156"/>
      <c r="N109" s="100"/>
      <c r="O109" s="218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24"/>
      <c r="BW109" s="124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6"/>
      <c r="CI109" s="6" t="b">
        <f t="shared" si="10"/>
        <v>0</v>
      </c>
      <c r="CJ109" s="24" t="str">
        <f t="shared" ca="1" si="11"/>
        <v/>
      </c>
      <c r="CK109" s="5">
        <f>IF(COUNTIF($B$13:B109,B109)+COUNTIF('記載様式（入院患者）'!$CR$13:$CR$22,B109)=1,1,0)</f>
        <v>0</v>
      </c>
      <c r="CL109" s="1">
        <f>SUM($CK$13:CK109)+$CL$11</f>
        <v>0</v>
      </c>
    </row>
    <row r="110" spans="1:90" x14ac:dyDescent="0.15">
      <c r="A110" s="86" t="str">
        <f t="shared" si="12"/>
        <v/>
      </c>
      <c r="B110" s="232"/>
      <c r="C110" s="233"/>
      <c r="D110" s="232"/>
      <c r="E110" s="233"/>
      <c r="F110" s="257"/>
      <c r="G110" s="258"/>
      <c r="H110" s="259"/>
      <c r="I110" s="102"/>
      <c r="J110" s="155"/>
      <c r="K110" s="101"/>
      <c r="L110" s="110"/>
      <c r="M110" s="156"/>
      <c r="N110" s="100"/>
      <c r="O110" s="218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24"/>
      <c r="BW110" s="124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6"/>
      <c r="CI110" s="6" t="b">
        <f t="shared" si="10"/>
        <v>0</v>
      </c>
      <c r="CJ110" s="24" t="str">
        <f t="shared" ca="1" si="11"/>
        <v/>
      </c>
      <c r="CK110" s="5">
        <f>IF(COUNTIF($B$13:B110,B110)+COUNTIF('記載様式（入院患者）'!$CR$13:$CR$22,B110)=1,1,0)</f>
        <v>0</v>
      </c>
      <c r="CL110" s="1">
        <f>SUM($CK$13:CK110)+$CL$11</f>
        <v>0</v>
      </c>
    </row>
    <row r="111" spans="1:90" x14ac:dyDescent="0.15">
      <c r="A111" s="86" t="str">
        <f t="shared" si="12"/>
        <v/>
      </c>
      <c r="B111" s="232"/>
      <c r="C111" s="233"/>
      <c r="D111" s="232"/>
      <c r="E111" s="233"/>
      <c r="F111" s="257"/>
      <c r="G111" s="258"/>
      <c r="H111" s="259"/>
      <c r="I111" s="102"/>
      <c r="J111" s="155"/>
      <c r="K111" s="101"/>
      <c r="L111" s="110"/>
      <c r="M111" s="156"/>
      <c r="N111" s="100"/>
      <c r="O111" s="218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24"/>
      <c r="BW111" s="124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6"/>
      <c r="CI111" s="6" t="b">
        <f t="shared" si="10"/>
        <v>0</v>
      </c>
      <c r="CJ111" s="24" t="str">
        <f t="shared" ca="1" si="11"/>
        <v/>
      </c>
      <c r="CK111" s="5">
        <f>IF(COUNTIF($B$13:B111,B111)+COUNTIF('記載様式（入院患者）'!$CR$13:$CR$22,B111)=1,1,0)</f>
        <v>0</v>
      </c>
      <c r="CL111" s="1">
        <f>SUM($CK$13:CK111)+$CL$11</f>
        <v>0</v>
      </c>
    </row>
    <row r="112" spans="1:90" ht="14.25" thickBot="1" x14ac:dyDescent="0.2">
      <c r="A112" s="87" t="str">
        <f t="shared" si="12"/>
        <v/>
      </c>
      <c r="B112" s="227"/>
      <c r="C112" s="228"/>
      <c r="D112" s="232"/>
      <c r="E112" s="233"/>
      <c r="F112" s="257"/>
      <c r="G112" s="258"/>
      <c r="H112" s="259"/>
      <c r="I112" s="102"/>
      <c r="J112" s="157"/>
      <c r="K112" s="158"/>
      <c r="L112" s="158"/>
      <c r="M112" s="159"/>
      <c r="N112" s="138"/>
      <c r="O112" s="220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5"/>
      <c r="BW112" s="144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6"/>
      <c r="CI112" s="6" t="b">
        <f t="shared" si="10"/>
        <v>0</v>
      </c>
      <c r="CJ112" s="24" t="str">
        <f t="shared" ca="1" si="11"/>
        <v/>
      </c>
      <c r="CK112" s="5">
        <f>IF(COUNTIF($B$13:B112,B112)+COUNTIF('記載様式（入院患者）'!$CR$13:$CR$22,B112)=1,1,0)</f>
        <v>0</v>
      </c>
      <c r="CL112" s="1">
        <f>SUM($CK$13:CK112)+$CL$11</f>
        <v>0</v>
      </c>
    </row>
    <row r="113" spans="86:88" x14ac:dyDescent="0.15">
      <c r="CH113" s="1"/>
      <c r="CJ113" s="20"/>
    </row>
    <row r="114" spans="86:88" x14ac:dyDescent="0.15">
      <c r="CH114" s="1"/>
      <c r="CJ114" s="20"/>
    </row>
    <row r="115" spans="86:88" x14ac:dyDescent="0.15">
      <c r="CH115" s="1"/>
      <c r="CJ115" s="20"/>
    </row>
    <row r="116" spans="86:88" x14ac:dyDescent="0.15">
      <c r="CH116" s="1"/>
      <c r="CJ116" s="20"/>
    </row>
    <row r="117" spans="86:88" x14ac:dyDescent="0.15">
      <c r="CH117" s="1"/>
      <c r="CJ117" s="20"/>
    </row>
    <row r="118" spans="86:88" x14ac:dyDescent="0.15">
      <c r="CH118" s="1"/>
      <c r="CJ118" s="20"/>
    </row>
    <row r="119" spans="86:88" x14ac:dyDescent="0.15">
      <c r="CH119" s="1"/>
      <c r="CJ119" s="20"/>
    </row>
  </sheetData>
  <mergeCells count="323">
    <mergeCell ref="D109:E109"/>
    <mergeCell ref="D110:E110"/>
    <mergeCell ref="D111:E111"/>
    <mergeCell ref="D112:E112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F107:H107"/>
    <mergeCell ref="F108:H108"/>
    <mergeCell ref="F109:H109"/>
    <mergeCell ref="F110:H110"/>
    <mergeCell ref="F111:H111"/>
    <mergeCell ref="F112:H112"/>
    <mergeCell ref="C2:G2"/>
    <mergeCell ref="C3:G3"/>
    <mergeCell ref="D5:G5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F98:H98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62:H62"/>
    <mergeCell ref="F63:H63"/>
    <mergeCell ref="F64:H64"/>
    <mergeCell ref="F65:H65"/>
    <mergeCell ref="F66:H66"/>
    <mergeCell ref="F67:H67"/>
    <mergeCell ref="F68:H68"/>
    <mergeCell ref="F69:H69"/>
    <mergeCell ref="F70:H7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CK12:CL12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7:C77"/>
    <mergeCell ref="B78:C78"/>
    <mergeCell ref="B79:C79"/>
    <mergeCell ref="B80:C80"/>
    <mergeCell ref="B81:C81"/>
    <mergeCell ref="B82:C82"/>
    <mergeCell ref="B112:C112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83:C83"/>
    <mergeCell ref="B84:C84"/>
    <mergeCell ref="B85:C85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CG3:CH3"/>
    <mergeCell ref="BW10:CH12"/>
    <mergeCell ref="BW3:BZ3"/>
    <mergeCell ref="CA3:CF3"/>
    <mergeCell ref="N10:N12"/>
    <mergeCell ref="F10:H12"/>
    <mergeCell ref="F13:H13"/>
    <mergeCell ref="F14:H14"/>
    <mergeCell ref="L11:L12"/>
    <mergeCell ref="K10:L10"/>
    <mergeCell ref="M10:M12"/>
    <mergeCell ref="K11:K12"/>
    <mergeCell ref="A5:C5"/>
    <mergeCell ref="A10:A12"/>
    <mergeCell ref="I10:I12"/>
    <mergeCell ref="J10:J12"/>
    <mergeCell ref="F50:H50"/>
    <mergeCell ref="F51:H51"/>
    <mergeCell ref="F52:H52"/>
    <mergeCell ref="B22:C22"/>
    <mergeCell ref="B23:C23"/>
    <mergeCell ref="B24:C24"/>
    <mergeCell ref="B25:C25"/>
    <mergeCell ref="B26:C26"/>
    <mergeCell ref="F15:H15"/>
    <mergeCell ref="F16:H16"/>
    <mergeCell ref="F17:H17"/>
    <mergeCell ref="F18:H18"/>
    <mergeCell ref="F19:H19"/>
    <mergeCell ref="B13:C13"/>
    <mergeCell ref="B14:C14"/>
    <mergeCell ref="B15:C15"/>
    <mergeCell ref="B16:C16"/>
    <mergeCell ref="B17:C17"/>
    <mergeCell ref="B30:C30"/>
    <mergeCell ref="B31:C31"/>
    <mergeCell ref="A2:B2"/>
    <mergeCell ref="A3:B3"/>
    <mergeCell ref="A4:B4"/>
    <mergeCell ref="B10:C12"/>
    <mergeCell ref="D10:E12"/>
    <mergeCell ref="F59:H59"/>
    <mergeCell ref="F60:H60"/>
    <mergeCell ref="F61:H61"/>
    <mergeCell ref="F29:H29"/>
    <mergeCell ref="F30:H30"/>
    <mergeCell ref="F31:H31"/>
    <mergeCell ref="F53:H53"/>
    <mergeCell ref="F54:H54"/>
    <mergeCell ref="F55:H55"/>
    <mergeCell ref="F56:H56"/>
    <mergeCell ref="F57:H57"/>
    <mergeCell ref="F58:H58"/>
    <mergeCell ref="B18:C18"/>
    <mergeCell ref="B19:C19"/>
    <mergeCell ref="B20:C20"/>
    <mergeCell ref="B21:C21"/>
    <mergeCell ref="B27:C27"/>
    <mergeCell ref="B28:C28"/>
    <mergeCell ref="B29:C29"/>
  </mergeCells>
  <phoneticPr fontId="1"/>
  <conditionalFormatting sqref="L13:L112">
    <cfRule type="expression" dxfId="20" priority="14" stopIfTrue="1">
      <formula>$K13="未実施"</formula>
    </cfRule>
  </conditionalFormatting>
  <conditionalFormatting sqref="P10:BV10">
    <cfRule type="expression" dxfId="19" priority="12" stopIfTrue="1">
      <formula>P$10&lt;&gt;""</formula>
    </cfRule>
  </conditionalFormatting>
  <conditionalFormatting sqref="CN12:CP23">
    <cfRule type="expression" dxfId="18" priority="4">
      <formula>$CO$12&lt;&gt;""</formula>
    </cfRule>
  </conditionalFormatting>
  <conditionalFormatting sqref="CR12:CT13">
    <cfRule type="expression" dxfId="17" priority="3">
      <formula>$CR$13&lt;&gt;""</formula>
    </cfRule>
  </conditionalFormatting>
  <conditionalFormatting sqref="CN26:CP37">
    <cfRule type="expression" dxfId="16" priority="2">
      <formula>$CO$26&lt;&gt;""</formula>
    </cfRule>
  </conditionalFormatting>
  <conditionalFormatting sqref="CR26:CT27">
    <cfRule type="expression" dxfId="15" priority="1">
      <formula>$CS$26&lt;&gt;""</formula>
    </cfRule>
  </conditionalFormatting>
  <conditionalFormatting sqref="O13:BV112">
    <cfRule type="expression" dxfId="14" priority="38" stopIfTrue="1">
      <formula>$CA$3=O$9</formula>
    </cfRule>
  </conditionalFormatting>
  <dataValidations count="3">
    <dataValidation type="list" allowBlank="1" showInputMessage="1" showErrorMessage="1" sqref="I13:I112">
      <formula1>"男,女"</formula1>
    </dataValidation>
    <dataValidation type="list" allowBlank="1" showInputMessage="1" showErrorMessage="1" sqref="K13:K112">
      <formula1>"陽性,陰性,未実施"</formula1>
    </dataValidation>
    <dataValidation type="list" allowBlank="1" showInputMessage="1" showErrorMessage="1" sqref="O13:BV112">
      <formula1>"○"</formula1>
    </dataValidation>
  </dataValidations>
  <hyperlinks>
    <hyperlink ref="K4" location="'記載様式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7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14"/>
  <sheetViews>
    <sheetView view="pageBreakPreview" zoomScaleNormal="100" zoomScaleSheetLayoutView="100" zoomScalePageLayoutView="110" workbookViewId="0">
      <selection activeCell="A3" sqref="A3"/>
    </sheetView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bestFit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4" width="2.625" style="1" hidden="1" customWidth="1"/>
    <col min="75" max="75" width="11" style="1" customWidth="1"/>
    <col min="76" max="76" width="10" style="1" customWidth="1"/>
    <col min="77" max="88" width="3.375" style="1" customWidth="1"/>
    <col min="89" max="89" width="5.875" style="9" hidden="1" customWidth="1"/>
    <col min="90" max="90" width="5.875" style="25" hidden="1" customWidth="1"/>
    <col min="91" max="92" width="5.875" style="31" hidden="1" customWidth="1"/>
    <col min="93" max="94" width="5.875" style="25" hidden="1" customWidth="1"/>
    <col min="95" max="95" width="6.75" style="1" hidden="1" customWidth="1"/>
    <col min="96" max="96" width="0" style="1" hidden="1" customWidth="1"/>
    <col min="97" max="97" width="2.625" style="166" hidden="1" customWidth="1"/>
    <col min="98" max="98" width="17" style="166" hidden="1" customWidth="1"/>
    <col min="99" max="100" width="9" style="166" hidden="1" customWidth="1"/>
    <col min="101" max="101" width="3.625" style="166" hidden="1" customWidth="1"/>
    <col min="102" max="102" width="17" style="166" hidden="1" customWidth="1"/>
    <col min="103" max="104" width="9" style="166" hidden="1" customWidth="1"/>
    <col min="105" max="105" width="9" style="166"/>
    <col min="106" max="106" width="9.25" style="166" customWidth="1"/>
    <col min="107" max="16384" width="9" style="1"/>
  </cols>
  <sheetData>
    <row r="1" spans="1:106" s="166" customFormat="1" x14ac:dyDescent="0.15">
      <c r="CK1" s="177"/>
      <c r="CL1" s="178"/>
      <c r="CM1" s="179"/>
      <c r="CN1" s="179"/>
      <c r="CO1" s="178"/>
      <c r="CP1" s="178"/>
    </row>
    <row r="2" spans="1:106" s="166" customFormat="1" x14ac:dyDescent="0.15">
      <c r="CK2" s="177"/>
      <c r="CL2" s="178"/>
      <c r="CM2" s="179"/>
      <c r="CN2" s="179"/>
      <c r="CO2" s="178"/>
      <c r="CP2" s="178"/>
    </row>
    <row r="3" spans="1:106" s="166" customFormat="1" ht="19.5" customHeight="1" x14ac:dyDescent="0.15">
      <c r="A3" s="166" t="s">
        <v>83</v>
      </c>
      <c r="U3" s="174" t="s">
        <v>82</v>
      </c>
      <c r="CB3" s="175"/>
      <c r="CC3" s="176"/>
      <c r="CD3" s="176"/>
      <c r="CE3" s="176"/>
      <c r="CF3" s="176"/>
      <c r="CG3" s="176"/>
      <c r="CH3" s="176"/>
      <c r="CI3" s="176"/>
      <c r="CK3" s="177"/>
      <c r="CL3" s="178"/>
      <c r="CM3" s="179"/>
      <c r="CN3" s="179"/>
      <c r="CO3" s="178"/>
      <c r="CP3" s="178"/>
    </row>
    <row r="4" spans="1:106" ht="18.75" customHeight="1" thickBot="1" x14ac:dyDescent="0.2">
      <c r="A4" s="229" t="s">
        <v>13</v>
      </c>
      <c r="B4" s="229"/>
      <c r="C4" s="264" t="s">
        <v>59</v>
      </c>
      <c r="D4" s="264"/>
      <c r="E4" s="264"/>
      <c r="F4" s="264"/>
      <c r="G4" s="264"/>
      <c r="H4" s="180"/>
      <c r="I4" s="165" t="s">
        <v>79</v>
      </c>
      <c r="J4" s="166"/>
      <c r="K4" s="165"/>
      <c r="L4" s="167"/>
      <c r="M4" s="165"/>
      <c r="N4" s="167"/>
      <c r="O4" s="181"/>
      <c r="P4" s="181"/>
      <c r="Q4" s="181"/>
      <c r="R4" s="166"/>
      <c r="S4" s="181"/>
      <c r="T4" s="181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66"/>
      <c r="CB4" s="176"/>
      <c r="CC4" s="176"/>
      <c r="CD4" s="176"/>
      <c r="CE4" s="176"/>
      <c r="CF4" s="176"/>
      <c r="CG4" s="176"/>
      <c r="CH4" s="176"/>
      <c r="CI4" s="176"/>
      <c r="CJ4" s="166"/>
      <c r="CK4" s="177"/>
      <c r="CL4" s="178"/>
      <c r="CM4" s="179"/>
      <c r="CN4" s="179"/>
      <c r="CO4" s="178"/>
      <c r="CP4" s="178"/>
      <c r="CQ4" s="166"/>
      <c r="CR4" s="166"/>
    </row>
    <row r="5" spans="1:106" ht="18.75" customHeight="1" thickBot="1" x14ac:dyDescent="0.2">
      <c r="A5" s="230" t="s">
        <v>74</v>
      </c>
      <c r="B5" s="230"/>
      <c r="C5" s="265" t="s">
        <v>26</v>
      </c>
      <c r="D5" s="265"/>
      <c r="E5" s="265"/>
      <c r="F5" s="265"/>
      <c r="G5" s="265"/>
      <c r="H5" s="182"/>
      <c r="I5" s="168" t="s">
        <v>80</v>
      </c>
      <c r="J5" s="166"/>
      <c r="K5" s="166"/>
      <c r="L5" s="166"/>
      <c r="M5" s="166"/>
      <c r="N5" s="167"/>
      <c r="O5" s="183"/>
      <c r="P5" s="183"/>
      <c r="Q5" s="183"/>
      <c r="R5" s="183"/>
      <c r="S5" s="183"/>
      <c r="T5" s="183"/>
      <c r="U5" s="183"/>
      <c r="V5" s="183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4"/>
      <c r="BX5" s="166"/>
      <c r="BY5" s="300" t="s">
        <v>17</v>
      </c>
      <c r="BZ5" s="300"/>
      <c r="CA5" s="300"/>
      <c r="CB5" s="300"/>
      <c r="CC5" s="274">
        <v>45395</v>
      </c>
      <c r="CD5" s="274"/>
      <c r="CE5" s="274"/>
      <c r="CF5" s="274"/>
      <c r="CG5" s="274"/>
      <c r="CH5" s="274"/>
      <c r="CI5" s="275" t="s">
        <v>18</v>
      </c>
      <c r="CJ5" s="275"/>
      <c r="CK5" s="16"/>
      <c r="CL5" s="26"/>
      <c r="CM5" s="32"/>
      <c r="CN5" s="32"/>
      <c r="CO5" s="26"/>
      <c r="CP5" s="26"/>
      <c r="CQ5" s="3"/>
    </row>
    <row r="6" spans="1:106" s="5" customFormat="1" ht="18.75" customHeight="1" thickBot="1" x14ac:dyDescent="0.2">
      <c r="A6" s="230" t="s">
        <v>62</v>
      </c>
      <c r="B6" s="230"/>
      <c r="C6" s="88" t="s">
        <v>59</v>
      </c>
      <c r="D6" s="10" t="s">
        <v>14</v>
      </c>
      <c r="E6" s="188" t="s">
        <v>32</v>
      </c>
      <c r="F6" s="88" t="s">
        <v>59</v>
      </c>
      <c r="G6" s="30" t="s">
        <v>14</v>
      </c>
      <c r="H6" s="189"/>
      <c r="I6" s="165" t="s">
        <v>76</v>
      </c>
      <c r="J6" s="169"/>
      <c r="K6" s="170" t="s">
        <v>77</v>
      </c>
      <c r="L6" s="171" t="s">
        <v>78</v>
      </c>
      <c r="M6" s="169"/>
      <c r="N6" s="172"/>
      <c r="O6" s="183"/>
      <c r="P6" s="183"/>
      <c r="Q6" s="183"/>
      <c r="R6" s="183"/>
      <c r="S6" s="183"/>
      <c r="T6" s="183"/>
      <c r="U6" s="183"/>
      <c r="V6" s="183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90"/>
      <c r="BX6" s="190"/>
      <c r="BY6" s="177"/>
      <c r="BZ6" s="177"/>
      <c r="CA6" s="183"/>
      <c r="CB6" s="183"/>
      <c r="CC6" s="177"/>
      <c r="CD6" s="177"/>
      <c r="CE6" s="177"/>
      <c r="CF6" s="177"/>
      <c r="CG6" s="177"/>
      <c r="CH6" s="177"/>
      <c r="CI6" s="183"/>
      <c r="CJ6" s="183"/>
      <c r="CK6" s="183"/>
      <c r="CL6" s="185"/>
      <c r="CM6" s="186"/>
      <c r="CN6" s="186"/>
      <c r="CO6" s="185"/>
      <c r="CP6" s="185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</row>
    <row r="7" spans="1:106" s="5" customFormat="1" ht="18.75" customHeight="1" thickBot="1" x14ac:dyDescent="0.2">
      <c r="A7" s="309" t="s">
        <v>15</v>
      </c>
      <c r="B7" s="309"/>
      <c r="C7" s="309"/>
      <c r="D7" s="266">
        <v>45383</v>
      </c>
      <c r="E7" s="266"/>
      <c r="F7" s="266"/>
      <c r="G7" s="266"/>
      <c r="H7" s="173"/>
      <c r="I7" s="165" t="s">
        <v>81</v>
      </c>
      <c r="J7" s="165"/>
      <c r="K7" s="172"/>
      <c r="L7" s="172"/>
      <c r="M7" s="165"/>
      <c r="N7" s="173"/>
      <c r="O7" s="191" t="s">
        <v>72</v>
      </c>
      <c r="P7" s="183"/>
      <c r="Q7" s="183"/>
      <c r="R7" s="183"/>
      <c r="S7" s="183"/>
      <c r="T7" s="183"/>
      <c r="U7" s="183"/>
      <c r="V7" s="183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5"/>
      <c r="CM7" s="186"/>
      <c r="CN7" s="186"/>
      <c r="CO7" s="185"/>
      <c r="CP7" s="185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</row>
    <row r="8" spans="1:106" s="166" customFormat="1" ht="18.75" customHeight="1" thickBot="1" x14ac:dyDescent="0.2">
      <c r="A8" s="193"/>
      <c r="B8" s="193"/>
      <c r="C8" s="193"/>
      <c r="D8" s="193"/>
      <c r="E8" s="193"/>
      <c r="F8" s="193"/>
      <c r="G8" s="193"/>
      <c r="H8" s="193"/>
      <c r="I8" s="183"/>
      <c r="J8" s="183"/>
      <c r="K8" s="183"/>
      <c r="L8" s="183"/>
      <c r="M8" s="183"/>
      <c r="N8" s="183"/>
      <c r="O8" s="194" t="s">
        <v>6</v>
      </c>
      <c r="P8" s="183"/>
      <c r="Q8" s="183"/>
      <c r="R8" s="183"/>
      <c r="S8" s="183"/>
      <c r="T8" s="183"/>
      <c r="U8" s="183"/>
      <c r="V8" s="183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5"/>
      <c r="CM8" s="186"/>
      <c r="CN8" s="186"/>
      <c r="CO8" s="185"/>
      <c r="CP8" s="185"/>
    </row>
    <row r="9" spans="1:106" ht="15" hidden="1" thickBot="1" x14ac:dyDescent="0.2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14">
        <f>YEAR($D$7)</f>
        <v>2024</v>
      </c>
      <c r="P9" s="14">
        <f>YEAR($D$7+1)</f>
        <v>2024</v>
      </c>
      <c r="Q9" s="14">
        <f>YEAR($D$7+2)</f>
        <v>2024</v>
      </c>
      <c r="R9" s="14">
        <f>YEAR($D$7+3)</f>
        <v>2024</v>
      </c>
      <c r="S9" s="14">
        <f>YEAR($D$7+4)</f>
        <v>2024</v>
      </c>
      <c r="T9" s="14">
        <f>YEAR($D$7+5)</f>
        <v>2024</v>
      </c>
      <c r="U9" s="14">
        <f>YEAR($D$7+6)</f>
        <v>2024</v>
      </c>
      <c r="V9" s="14">
        <f>YEAR($D$7+7)</f>
        <v>2024</v>
      </c>
      <c r="W9" s="14">
        <f>YEAR($D$7+8)</f>
        <v>2024</v>
      </c>
      <c r="X9" s="14">
        <f>YEAR($D$7+9)</f>
        <v>2024</v>
      </c>
      <c r="Y9" s="14">
        <f>YEAR($D$7+10)</f>
        <v>2024</v>
      </c>
      <c r="Z9" s="14">
        <f>YEAR($D$7+11)</f>
        <v>2024</v>
      </c>
      <c r="AA9" s="14">
        <f>YEAR($D$7+12)</f>
        <v>2024</v>
      </c>
      <c r="AB9" s="14">
        <f>YEAR($D$7+13)</f>
        <v>2024</v>
      </c>
      <c r="AC9" s="14">
        <f>YEAR($D$7+14)</f>
        <v>2024</v>
      </c>
      <c r="AD9" s="14">
        <f>YEAR($D$7+15)</f>
        <v>2024</v>
      </c>
      <c r="AE9" s="14">
        <f>YEAR($D$7+16)</f>
        <v>2024</v>
      </c>
      <c r="AF9" s="14">
        <f>YEAR($D$7+17)</f>
        <v>2024</v>
      </c>
      <c r="AG9" s="14">
        <f>YEAR($D$7+18)</f>
        <v>2024</v>
      </c>
      <c r="AH9" s="14">
        <f>YEAR($D$7+19)</f>
        <v>2024</v>
      </c>
      <c r="AI9" s="14">
        <f>YEAR($D$7+20)</f>
        <v>2024</v>
      </c>
      <c r="AJ9" s="14">
        <f>YEAR($D$7+21)</f>
        <v>2024</v>
      </c>
      <c r="AK9" s="14">
        <f>YEAR($D$7+22)</f>
        <v>2024</v>
      </c>
      <c r="AL9" s="14">
        <f>YEAR($D$7+23)</f>
        <v>2024</v>
      </c>
      <c r="AM9" s="14">
        <f>YEAR($D$7+24)</f>
        <v>2024</v>
      </c>
      <c r="AN9" s="14">
        <f>YEAR($D$7+25)</f>
        <v>2024</v>
      </c>
      <c r="AO9" s="14">
        <f>YEAR($D$7+26)</f>
        <v>2024</v>
      </c>
      <c r="AP9" s="14">
        <f>YEAR($D$7+27)</f>
        <v>2024</v>
      </c>
      <c r="AQ9" s="14">
        <f>YEAR($D$7+28)</f>
        <v>2024</v>
      </c>
      <c r="AR9" s="14">
        <f t="shared" ref="AR9:BV9" si="0">YEAR($D$7+29)</f>
        <v>2024</v>
      </c>
      <c r="AS9" s="14">
        <f t="shared" si="0"/>
        <v>2024</v>
      </c>
      <c r="AT9" s="14">
        <f t="shared" si="0"/>
        <v>2024</v>
      </c>
      <c r="AU9" s="14">
        <f t="shared" si="0"/>
        <v>2024</v>
      </c>
      <c r="AV9" s="14">
        <f t="shared" si="0"/>
        <v>2024</v>
      </c>
      <c r="AW9" s="14">
        <f t="shared" si="0"/>
        <v>2024</v>
      </c>
      <c r="AX9" s="14">
        <f t="shared" si="0"/>
        <v>2024</v>
      </c>
      <c r="AY9" s="14">
        <f t="shared" si="0"/>
        <v>2024</v>
      </c>
      <c r="AZ9" s="14">
        <f t="shared" si="0"/>
        <v>2024</v>
      </c>
      <c r="BA9" s="14">
        <f t="shared" si="0"/>
        <v>2024</v>
      </c>
      <c r="BB9" s="14">
        <f t="shared" si="0"/>
        <v>2024</v>
      </c>
      <c r="BC9" s="14">
        <f t="shared" si="0"/>
        <v>2024</v>
      </c>
      <c r="BD9" s="14">
        <f t="shared" si="0"/>
        <v>2024</v>
      </c>
      <c r="BE9" s="14">
        <f t="shared" si="0"/>
        <v>2024</v>
      </c>
      <c r="BF9" s="14">
        <f t="shared" si="0"/>
        <v>2024</v>
      </c>
      <c r="BG9" s="14">
        <f t="shared" si="0"/>
        <v>2024</v>
      </c>
      <c r="BH9" s="14">
        <f t="shared" si="0"/>
        <v>2024</v>
      </c>
      <c r="BI9" s="14">
        <f t="shared" si="0"/>
        <v>2024</v>
      </c>
      <c r="BJ9" s="14">
        <f t="shared" si="0"/>
        <v>2024</v>
      </c>
      <c r="BK9" s="14">
        <f t="shared" si="0"/>
        <v>2024</v>
      </c>
      <c r="BL9" s="14">
        <f t="shared" si="0"/>
        <v>2024</v>
      </c>
      <c r="BM9" s="14">
        <f t="shared" si="0"/>
        <v>2024</v>
      </c>
      <c r="BN9" s="14">
        <f t="shared" si="0"/>
        <v>2024</v>
      </c>
      <c r="BO9" s="14">
        <f t="shared" si="0"/>
        <v>2024</v>
      </c>
      <c r="BP9" s="14">
        <f t="shared" si="0"/>
        <v>2024</v>
      </c>
      <c r="BQ9" s="14">
        <f t="shared" si="0"/>
        <v>2024</v>
      </c>
      <c r="BR9" s="14">
        <f t="shared" si="0"/>
        <v>2024</v>
      </c>
      <c r="BS9" s="14">
        <f t="shared" si="0"/>
        <v>2024</v>
      </c>
      <c r="BT9" s="14">
        <f t="shared" si="0"/>
        <v>2024</v>
      </c>
      <c r="BU9" s="14">
        <f t="shared" si="0"/>
        <v>2024</v>
      </c>
      <c r="BV9" s="14">
        <f t="shared" si="0"/>
        <v>2024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16"/>
      <c r="CL9" s="26"/>
      <c r="CM9" s="32"/>
      <c r="CN9" s="32"/>
      <c r="CO9" s="26"/>
      <c r="CP9" s="26"/>
    </row>
    <row r="10" spans="1:106" s="13" customFormat="1" ht="11.25" hidden="1" thickBot="1" x14ac:dyDescent="0.2">
      <c r="A10" s="12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>
        <f>MONTH($D$7)</f>
        <v>4</v>
      </c>
      <c r="P10" s="11">
        <f>MONTH($D$7+1)</f>
        <v>4</v>
      </c>
      <c r="Q10" s="11">
        <f>MONTH($D$7+2)</f>
        <v>4</v>
      </c>
      <c r="R10" s="11">
        <f>MONTH($D$7+3)</f>
        <v>4</v>
      </c>
      <c r="S10" s="11">
        <f>MONTH($D$7+4)</f>
        <v>4</v>
      </c>
      <c r="T10" s="11">
        <f>MONTH($D$7+5)</f>
        <v>4</v>
      </c>
      <c r="U10" s="11">
        <f>MONTH($D$7+6)</f>
        <v>4</v>
      </c>
      <c r="V10" s="11">
        <f>MONTH($D$7+7)</f>
        <v>4</v>
      </c>
      <c r="W10" s="11">
        <f>MONTH($D$7+8)</f>
        <v>4</v>
      </c>
      <c r="X10" s="11">
        <f>MONTH($D$7+9)</f>
        <v>4</v>
      </c>
      <c r="Y10" s="11">
        <f>MONTH($D$7+10)</f>
        <v>4</v>
      </c>
      <c r="Z10" s="11">
        <f>MONTH($D$7+11)</f>
        <v>4</v>
      </c>
      <c r="AA10" s="11">
        <f>MONTH($D$7+12)</f>
        <v>4</v>
      </c>
      <c r="AB10" s="11">
        <f>MONTH($D$7+13)</f>
        <v>4</v>
      </c>
      <c r="AC10" s="11">
        <f>MONTH($D$7+14)</f>
        <v>4</v>
      </c>
      <c r="AD10" s="11">
        <f>MONTH($D$7+15)</f>
        <v>4</v>
      </c>
      <c r="AE10" s="11">
        <f>MONTH($D$7+16)</f>
        <v>4</v>
      </c>
      <c r="AF10" s="11">
        <f>MONTH($D$7+17)</f>
        <v>4</v>
      </c>
      <c r="AG10" s="11">
        <f>MONTH($D$7+18)</f>
        <v>4</v>
      </c>
      <c r="AH10" s="11">
        <f>MONTH($D$7+19)</f>
        <v>4</v>
      </c>
      <c r="AI10" s="11">
        <f>MONTH($D$7+20)</f>
        <v>4</v>
      </c>
      <c r="AJ10" s="11">
        <f>MONTH($D$7+21)</f>
        <v>4</v>
      </c>
      <c r="AK10" s="11">
        <f>MONTH($D$7+22)</f>
        <v>4</v>
      </c>
      <c r="AL10" s="11">
        <f>MONTH($D$7+23)</f>
        <v>4</v>
      </c>
      <c r="AM10" s="11">
        <f>MONTH($D$7+24)</f>
        <v>4</v>
      </c>
      <c r="AN10" s="11">
        <f>MONTH($D$7+25)</f>
        <v>4</v>
      </c>
      <c r="AO10" s="11">
        <f>MONTH($D$7+26)</f>
        <v>4</v>
      </c>
      <c r="AP10" s="11">
        <f>MONTH($D$7+27)</f>
        <v>4</v>
      </c>
      <c r="AQ10" s="11">
        <f>MONTH($D$7+28)</f>
        <v>4</v>
      </c>
      <c r="AR10" s="11">
        <f>MONTH($D$7+29)</f>
        <v>4</v>
      </c>
      <c r="AS10" s="11">
        <f>MONTH($D$7+30)</f>
        <v>5</v>
      </c>
      <c r="AT10" s="11">
        <f>MONTH($D$7+31)</f>
        <v>5</v>
      </c>
      <c r="AU10" s="11">
        <f>MONTH($D$7+32)</f>
        <v>5</v>
      </c>
      <c r="AV10" s="11">
        <f>MONTH($D$7+33)</f>
        <v>5</v>
      </c>
      <c r="AW10" s="11">
        <f>MONTH($D$7+34)</f>
        <v>5</v>
      </c>
      <c r="AX10" s="11">
        <f>MONTH($D$7+35)</f>
        <v>5</v>
      </c>
      <c r="AY10" s="11">
        <f>MONTH($D$7+36)</f>
        <v>5</v>
      </c>
      <c r="AZ10" s="11">
        <f>MONTH($D$7+37)</f>
        <v>5</v>
      </c>
      <c r="BA10" s="11">
        <f>MONTH($D$7+38)</f>
        <v>5</v>
      </c>
      <c r="BB10" s="11">
        <f>MONTH($D$7+39)</f>
        <v>5</v>
      </c>
      <c r="BC10" s="11">
        <f>MONTH($D$7+40)</f>
        <v>5</v>
      </c>
      <c r="BD10" s="11">
        <f>MONTH($D$7+41)</f>
        <v>5</v>
      </c>
      <c r="BE10" s="11">
        <f>MONTH($D$7+42)</f>
        <v>5</v>
      </c>
      <c r="BF10" s="11">
        <f>MONTH($D$7+43)</f>
        <v>5</v>
      </c>
      <c r="BG10" s="11">
        <f>MONTH($D$7+44)</f>
        <v>5</v>
      </c>
      <c r="BH10" s="11">
        <f>MONTH($D$7+45)</f>
        <v>5</v>
      </c>
      <c r="BI10" s="11">
        <f>MONTH($D$7+46)</f>
        <v>5</v>
      </c>
      <c r="BJ10" s="11">
        <f>MONTH($D$7+47)</f>
        <v>5</v>
      </c>
      <c r="BK10" s="11">
        <f>MONTH($D$7+48)</f>
        <v>5</v>
      </c>
      <c r="BL10" s="11">
        <f>MONTH($D$7+49)</f>
        <v>5</v>
      </c>
      <c r="BM10" s="11">
        <f>MONTH($D$7+50)</f>
        <v>5</v>
      </c>
      <c r="BN10" s="11">
        <f>MONTH($D$7+51)</f>
        <v>5</v>
      </c>
      <c r="BO10" s="11">
        <f>MONTH($D$7+52)</f>
        <v>5</v>
      </c>
      <c r="BP10" s="11">
        <f>MONTH($D$7+53)</f>
        <v>5</v>
      </c>
      <c r="BQ10" s="11">
        <f>MONTH($D$7+54)</f>
        <v>5</v>
      </c>
      <c r="BR10" s="11">
        <f>MONTH($D$7+55)</f>
        <v>5</v>
      </c>
      <c r="BS10" s="11">
        <f>MONTH($D$7+56)</f>
        <v>5</v>
      </c>
      <c r="BT10" s="11">
        <f>MONTH($D$7+57)</f>
        <v>5</v>
      </c>
      <c r="BU10" s="11">
        <f>MONTH($D$7+58)</f>
        <v>5</v>
      </c>
      <c r="BV10" s="11">
        <f>MONTH($D$7+59)</f>
        <v>5</v>
      </c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7"/>
      <c r="CL10" s="27"/>
      <c r="CM10" s="33"/>
      <c r="CN10" s="33"/>
      <c r="CO10" s="27"/>
      <c r="CP10" s="27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</row>
    <row r="11" spans="1:106" s="13" customFormat="1" ht="11.25" hidden="1" thickBot="1" x14ac:dyDescent="0.2">
      <c r="A11" s="12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5">
        <f>DATE(O9,O10,O13)</f>
        <v>45383</v>
      </c>
      <c r="P11" s="15">
        <f t="shared" ref="P11:BV11" si="1">DATE(P9,P10,P13)</f>
        <v>45384</v>
      </c>
      <c r="Q11" s="15">
        <f t="shared" si="1"/>
        <v>45385</v>
      </c>
      <c r="R11" s="15">
        <f t="shared" si="1"/>
        <v>45386</v>
      </c>
      <c r="S11" s="15">
        <f t="shared" si="1"/>
        <v>45387</v>
      </c>
      <c r="T11" s="15">
        <f t="shared" si="1"/>
        <v>45388</v>
      </c>
      <c r="U11" s="15">
        <f t="shared" si="1"/>
        <v>45389</v>
      </c>
      <c r="V11" s="15">
        <f t="shared" si="1"/>
        <v>45390</v>
      </c>
      <c r="W11" s="15">
        <f t="shared" si="1"/>
        <v>45391</v>
      </c>
      <c r="X11" s="15">
        <f t="shared" si="1"/>
        <v>45392</v>
      </c>
      <c r="Y11" s="15">
        <f t="shared" si="1"/>
        <v>45393</v>
      </c>
      <c r="Z11" s="15">
        <f t="shared" si="1"/>
        <v>45394</v>
      </c>
      <c r="AA11" s="15">
        <f t="shared" si="1"/>
        <v>45395</v>
      </c>
      <c r="AB11" s="15">
        <f t="shared" si="1"/>
        <v>45396</v>
      </c>
      <c r="AC11" s="15">
        <f t="shared" si="1"/>
        <v>45397</v>
      </c>
      <c r="AD11" s="15">
        <f t="shared" si="1"/>
        <v>45398</v>
      </c>
      <c r="AE11" s="15">
        <f t="shared" si="1"/>
        <v>45399</v>
      </c>
      <c r="AF11" s="15">
        <f t="shared" si="1"/>
        <v>45400</v>
      </c>
      <c r="AG11" s="15">
        <f t="shared" si="1"/>
        <v>45401</v>
      </c>
      <c r="AH11" s="15">
        <f t="shared" si="1"/>
        <v>45402</v>
      </c>
      <c r="AI11" s="15">
        <f t="shared" si="1"/>
        <v>45403</v>
      </c>
      <c r="AJ11" s="15">
        <f t="shared" si="1"/>
        <v>45404</v>
      </c>
      <c r="AK11" s="15">
        <f t="shared" si="1"/>
        <v>45405</v>
      </c>
      <c r="AL11" s="15">
        <f t="shared" si="1"/>
        <v>45406</v>
      </c>
      <c r="AM11" s="15">
        <f t="shared" si="1"/>
        <v>45407</v>
      </c>
      <c r="AN11" s="15">
        <f t="shared" si="1"/>
        <v>45408</v>
      </c>
      <c r="AO11" s="15">
        <f t="shared" si="1"/>
        <v>45409</v>
      </c>
      <c r="AP11" s="15">
        <f t="shared" si="1"/>
        <v>45410</v>
      </c>
      <c r="AQ11" s="15">
        <f t="shared" si="1"/>
        <v>45411</v>
      </c>
      <c r="AR11" s="15">
        <f t="shared" si="1"/>
        <v>45412</v>
      </c>
      <c r="AS11" s="15">
        <f t="shared" si="1"/>
        <v>45413</v>
      </c>
      <c r="AT11" s="15">
        <f t="shared" si="1"/>
        <v>45414</v>
      </c>
      <c r="AU11" s="15">
        <f t="shared" si="1"/>
        <v>45415</v>
      </c>
      <c r="AV11" s="15">
        <f t="shared" si="1"/>
        <v>45416</v>
      </c>
      <c r="AW11" s="15">
        <f t="shared" si="1"/>
        <v>45417</v>
      </c>
      <c r="AX11" s="15">
        <f t="shared" si="1"/>
        <v>45418</v>
      </c>
      <c r="AY11" s="15">
        <f t="shared" si="1"/>
        <v>45419</v>
      </c>
      <c r="AZ11" s="15">
        <f t="shared" si="1"/>
        <v>45420</v>
      </c>
      <c r="BA11" s="15">
        <f t="shared" si="1"/>
        <v>45421</v>
      </c>
      <c r="BB11" s="15">
        <f t="shared" si="1"/>
        <v>45422</v>
      </c>
      <c r="BC11" s="15">
        <f t="shared" si="1"/>
        <v>45423</v>
      </c>
      <c r="BD11" s="15">
        <f t="shared" si="1"/>
        <v>45424</v>
      </c>
      <c r="BE11" s="15">
        <f t="shared" si="1"/>
        <v>45425</v>
      </c>
      <c r="BF11" s="15">
        <f t="shared" si="1"/>
        <v>45426</v>
      </c>
      <c r="BG11" s="15">
        <f t="shared" si="1"/>
        <v>45427</v>
      </c>
      <c r="BH11" s="15">
        <f t="shared" si="1"/>
        <v>45428</v>
      </c>
      <c r="BI11" s="15">
        <f t="shared" si="1"/>
        <v>45429</v>
      </c>
      <c r="BJ11" s="15">
        <f t="shared" si="1"/>
        <v>45430</v>
      </c>
      <c r="BK11" s="15">
        <f t="shared" si="1"/>
        <v>45431</v>
      </c>
      <c r="BL11" s="15">
        <f t="shared" si="1"/>
        <v>45432</v>
      </c>
      <c r="BM11" s="15">
        <f t="shared" si="1"/>
        <v>45433</v>
      </c>
      <c r="BN11" s="15">
        <f t="shared" si="1"/>
        <v>45434</v>
      </c>
      <c r="BO11" s="15">
        <f t="shared" si="1"/>
        <v>45435</v>
      </c>
      <c r="BP11" s="15">
        <f t="shared" si="1"/>
        <v>45436</v>
      </c>
      <c r="BQ11" s="15">
        <f t="shared" si="1"/>
        <v>45437</v>
      </c>
      <c r="BR11" s="15">
        <f t="shared" si="1"/>
        <v>45438</v>
      </c>
      <c r="BS11" s="15">
        <f t="shared" si="1"/>
        <v>45439</v>
      </c>
      <c r="BT11" s="15">
        <f t="shared" si="1"/>
        <v>45440</v>
      </c>
      <c r="BU11" s="15">
        <f t="shared" si="1"/>
        <v>45441</v>
      </c>
      <c r="BV11" s="15">
        <f t="shared" si="1"/>
        <v>45442</v>
      </c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7"/>
      <c r="CL11" s="27"/>
      <c r="CM11" s="33"/>
      <c r="CN11" s="33"/>
      <c r="CO11" s="27"/>
      <c r="CP11" s="27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</row>
    <row r="12" spans="1:106" ht="14.1" customHeight="1" x14ac:dyDescent="0.15">
      <c r="A12" s="234" t="s">
        <v>1</v>
      </c>
      <c r="B12" s="249" t="s">
        <v>63</v>
      </c>
      <c r="C12" s="250"/>
      <c r="D12" s="243" t="s">
        <v>30</v>
      </c>
      <c r="E12" s="244"/>
      <c r="F12" s="240" t="s">
        <v>16</v>
      </c>
      <c r="G12" s="267"/>
      <c r="H12" s="268"/>
      <c r="I12" s="237" t="s">
        <v>0</v>
      </c>
      <c r="J12" s="240" t="s">
        <v>4</v>
      </c>
      <c r="K12" s="292" t="s">
        <v>20</v>
      </c>
      <c r="L12" s="293"/>
      <c r="M12" s="237" t="s">
        <v>60</v>
      </c>
      <c r="N12" s="289" t="s">
        <v>33</v>
      </c>
      <c r="O12" s="196" t="str">
        <f>IF(D7="",""," "&amp;MONTH(D7)&amp;"月")</f>
        <v xml:space="preserve"> 4月</v>
      </c>
      <c r="P12" s="197" t="str">
        <f t="shared" ref="P12:AU12" si="2">IF($D$7="","",IF(P13=1," "&amp;P10&amp;"月",""))</f>
        <v/>
      </c>
      <c r="Q12" s="197" t="str">
        <f t="shared" si="2"/>
        <v/>
      </c>
      <c r="R12" s="197" t="str">
        <f t="shared" si="2"/>
        <v/>
      </c>
      <c r="S12" s="197" t="str">
        <f t="shared" si="2"/>
        <v/>
      </c>
      <c r="T12" s="197" t="str">
        <f t="shared" si="2"/>
        <v/>
      </c>
      <c r="U12" s="197" t="str">
        <f t="shared" si="2"/>
        <v/>
      </c>
      <c r="V12" s="197" t="str">
        <f t="shared" si="2"/>
        <v/>
      </c>
      <c r="W12" s="197" t="str">
        <f t="shared" si="2"/>
        <v/>
      </c>
      <c r="X12" s="197" t="str">
        <f t="shared" si="2"/>
        <v/>
      </c>
      <c r="Y12" s="197" t="str">
        <f t="shared" si="2"/>
        <v/>
      </c>
      <c r="Z12" s="197" t="str">
        <f t="shared" si="2"/>
        <v/>
      </c>
      <c r="AA12" s="197" t="str">
        <f t="shared" si="2"/>
        <v/>
      </c>
      <c r="AB12" s="197" t="str">
        <f t="shared" si="2"/>
        <v/>
      </c>
      <c r="AC12" s="197" t="str">
        <f t="shared" si="2"/>
        <v/>
      </c>
      <c r="AD12" s="197" t="str">
        <f t="shared" si="2"/>
        <v/>
      </c>
      <c r="AE12" s="197" t="str">
        <f t="shared" si="2"/>
        <v/>
      </c>
      <c r="AF12" s="197" t="str">
        <f t="shared" si="2"/>
        <v/>
      </c>
      <c r="AG12" s="197" t="str">
        <f t="shared" si="2"/>
        <v/>
      </c>
      <c r="AH12" s="197" t="str">
        <f t="shared" si="2"/>
        <v/>
      </c>
      <c r="AI12" s="197" t="str">
        <f t="shared" si="2"/>
        <v/>
      </c>
      <c r="AJ12" s="197" t="str">
        <f t="shared" si="2"/>
        <v/>
      </c>
      <c r="AK12" s="197" t="str">
        <f t="shared" si="2"/>
        <v/>
      </c>
      <c r="AL12" s="197" t="str">
        <f t="shared" si="2"/>
        <v/>
      </c>
      <c r="AM12" s="197" t="str">
        <f t="shared" si="2"/>
        <v/>
      </c>
      <c r="AN12" s="197" t="str">
        <f t="shared" si="2"/>
        <v/>
      </c>
      <c r="AO12" s="197" t="str">
        <f t="shared" si="2"/>
        <v/>
      </c>
      <c r="AP12" s="197" t="str">
        <f t="shared" si="2"/>
        <v/>
      </c>
      <c r="AQ12" s="197" t="str">
        <f t="shared" si="2"/>
        <v/>
      </c>
      <c r="AR12" s="197" t="str">
        <f t="shared" si="2"/>
        <v/>
      </c>
      <c r="AS12" s="197" t="str">
        <f t="shared" si="2"/>
        <v xml:space="preserve"> 5月</v>
      </c>
      <c r="AT12" s="197" t="str">
        <f t="shared" si="2"/>
        <v/>
      </c>
      <c r="AU12" s="197" t="str">
        <f t="shared" si="2"/>
        <v/>
      </c>
      <c r="AV12" s="197" t="str">
        <f t="shared" ref="AV12:BV12" si="3">IF($D$7="","",IF(AV13=1," "&amp;AV10&amp;"月",""))</f>
        <v/>
      </c>
      <c r="AW12" s="197" t="str">
        <f t="shared" si="3"/>
        <v/>
      </c>
      <c r="AX12" s="197" t="str">
        <f t="shared" si="3"/>
        <v/>
      </c>
      <c r="AY12" s="197" t="str">
        <f t="shared" si="3"/>
        <v/>
      </c>
      <c r="AZ12" s="197" t="str">
        <f t="shared" si="3"/>
        <v/>
      </c>
      <c r="BA12" s="197" t="str">
        <f t="shared" si="3"/>
        <v/>
      </c>
      <c r="BB12" s="197" t="str">
        <f t="shared" si="3"/>
        <v/>
      </c>
      <c r="BC12" s="197" t="str">
        <f t="shared" si="3"/>
        <v/>
      </c>
      <c r="BD12" s="197" t="str">
        <f t="shared" si="3"/>
        <v/>
      </c>
      <c r="BE12" s="197" t="str">
        <f t="shared" si="3"/>
        <v/>
      </c>
      <c r="BF12" s="197" t="str">
        <f t="shared" si="3"/>
        <v/>
      </c>
      <c r="BG12" s="197" t="str">
        <f t="shared" si="3"/>
        <v/>
      </c>
      <c r="BH12" s="197" t="str">
        <f t="shared" si="3"/>
        <v/>
      </c>
      <c r="BI12" s="197" t="str">
        <f t="shared" si="3"/>
        <v/>
      </c>
      <c r="BJ12" s="197" t="str">
        <f t="shared" si="3"/>
        <v/>
      </c>
      <c r="BK12" s="197" t="str">
        <f t="shared" si="3"/>
        <v/>
      </c>
      <c r="BL12" s="197" t="str">
        <f t="shared" si="3"/>
        <v/>
      </c>
      <c r="BM12" s="197" t="str">
        <f t="shared" si="3"/>
        <v/>
      </c>
      <c r="BN12" s="197" t="str">
        <f t="shared" si="3"/>
        <v/>
      </c>
      <c r="BO12" s="197" t="str">
        <f t="shared" si="3"/>
        <v/>
      </c>
      <c r="BP12" s="197" t="str">
        <f t="shared" si="3"/>
        <v/>
      </c>
      <c r="BQ12" s="197" t="str">
        <f t="shared" si="3"/>
        <v/>
      </c>
      <c r="BR12" s="197" t="str">
        <f t="shared" si="3"/>
        <v/>
      </c>
      <c r="BS12" s="197" t="str">
        <f t="shared" si="3"/>
        <v/>
      </c>
      <c r="BT12" s="197" t="str">
        <f t="shared" si="3"/>
        <v/>
      </c>
      <c r="BU12" s="197" t="str">
        <f t="shared" si="3"/>
        <v/>
      </c>
      <c r="BV12" s="197" t="str">
        <f t="shared" si="3"/>
        <v/>
      </c>
      <c r="BW12" s="285" t="s">
        <v>34</v>
      </c>
      <c r="BX12" s="285" t="s">
        <v>35</v>
      </c>
      <c r="BY12" s="276" t="s">
        <v>9</v>
      </c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8"/>
      <c r="CK12" s="18"/>
      <c r="CL12" s="28"/>
      <c r="CM12" s="34"/>
      <c r="CN12" s="34"/>
      <c r="CO12" s="28"/>
      <c r="CP12" s="28"/>
      <c r="CQ12" s="5"/>
      <c r="CT12" s="166" t="str">
        <f>IF(C5&lt;&gt;"新型コロナウイルス感染症","入力内容から発生人数を算出しています。WEB報告の参考としてください。","")</f>
        <v/>
      </c>
    </row>
    <row r="13" spans="1:106" ht="14.1" customHeight="1" x14ac:dyDescent="0.15">
      <c r="A13" s="235"/>
      <c r="B13" s="251"/>
      <c r="C13" s="252"/>
      <c r="D13" s="245"/>
      <c r="E13" s="246"/>
      <c r="F13" s="241"/>
      <c r="G13" s="269"/>
      <c r="H13" s="270"/>
      <c r="I13" s="238"/>
      <c r="J13" s="241"/>
      <c r="K13" s="296" t="s">
        <v>5</v>
      </c>
      <c r="L13" s="294" t="s">
        <v>19</v>
      </c>
      <c r="M13" s="238"/>
      <c r="N13" s="290"/>
      <c r="O13" s="198">
        <f>IF(D7="","",DAY($D$7))</f>
        <v>1</v>
      </c>
      <c r="P13" s="199">
        <f>IF(D7="","",DAY($D$7+1))</f>
        <v>2</v>
      </c>
      <c r="Q13" s="199">
        <f>IF(D7="","",DAY($D$7+2))</f>
        <v>3</v>
      </c>
      <c r="R13" s="199">
        <f>IF(D7="","",DAY($D$7+3))</f>
        <v>4</v>
      </c>
      <c r="S13" s="199">
        <f>IF(D7="","",DAY($D$7+4))</f>
        <v>5</v>
      </c>
      <c r="T13" s="199">
        <f>IF(D7="","",DAY($D$7+5))</f>
        <v>6</v>
      </c>
      <c r="U13" s="199">
        <f>IF(D7="","",DAY($D$7+6))</f>
        <v>7</v>
      </c>
      <c r="V13" s="199">
        <f>IF(D7="","",DAY($D$7+7))</f>
        <v>8</v>
      </c>
      <c r="W13" s="199">
        <f>IF(D7="","",DAY($D$7+8))</f>
        <v>9</v>
      </c>
      <c r="X13" s="199">
        <f>IF(D7="","",DAY($D$7+9))</f>
        <v>10</v>
      </c>
      <c r="Y13" s="199">
        <f>IF(D7="","",DAY($D$7+10))</f>
        <v>11</v>
      </c>
      <c r="Z13" s="199">
        <f>IF(D7="","",DAY($D$7+11))</f>
        <v>12</v>
      </c>
      <c r="AA13" s="199">
        <f>IF(D7="","",DAY($D$7+12))</f>
        <v>13</v>
      </c>
      <c r="AB13" s="199">
        <f>IF(D7="","",DAY($D$7+13))</f>
        <v>14</v>
      </c>
      <c r="AC13" s="199">
        <f>IF(D7="","",DAY($D$7+14))</f>
        <v>15</v>
      </c>
      <c r="AD13" s="199">
        <f>IF(D7="","",DAY($D$7+15))</f>
        <v>16</v>
      </c>
      <c r="AE13" s="199">
        <f>IF(D7="","",DAY($D$7+16))</f>
        <v>17</v>
      </c>
      <c r="AF13" s="199">
        <f>IF(D7="","",DAY($D$7+17))</f>
        <v>18</v>
      </c>
      <c r="AG13" s="199">
        <f>IF(D7="","",DAY($D$7+18))</f>
        <v>19</v>
      </c>
      <c r="AH13" s="199">
        <f>IF(D7="","",DAY($D$7+19))</f>
        <v>20</v>
      </c>
      <c r="AI13" s="199">
        <f>IF(D7="","",DAY($D$7+20))</f>
        <v>21</v>
      </c>
      <c r="AJ13" s="199">
        <f>IF(D7="","",DAY($D$7+21))</f>
        <v>22</v>
      </c>
      <c r="AK13" s="199">
        <f>IF(D7="","",DAY($D$7+22))</f>
        <v>23</v>
      </c>
      <c r="AL13" s="199">
        <f>IF(D7="","",DAY($D$7+23))</f>
        <v>24</v>
      </c>
      <c r="AM13" s="199">
        <f>IF(D7="","",DAY($D$7+24))</f>
        <v>25</v>
      </c>
      <c r="AN13" s="199">
        <f>IF(D7="","",DAY($D$7+25))</f>
        <v>26</v>
      </c>
      <c r="AO13" s="199">
        <f>IF(D7="","",DAY($D$7+26))</f>
        <v>27</v>
      </c>
      <c r="AP13" s="199">
        <f>IF(D7="","",DAY($D$7+27))</f>
        <v>28</v>
      </c>
      <c r="AQ13" s="199">
        <f>IF(D7="","",DAY($D$7+28))</f>
        <v>29</v>
      </c>
      <c r="AR13" s="199">
        <f>IF(D7="","",DAY($D$7+29))</f>
        <v>30</v>
      </c>
      <c r="AS13" s="199">
        <f>IF(D7="","",DAY($D$7+30))</f>
        <v>1</v>
      </c>
      <c r="AT13" s="199">
        <f>IF(D7="","",DAY($D$7+31))</f>
        <v>2</v>
      </c>
      <c r="AU13" s="199">
        <f>IF(D7="","",DAY($D$7+32))</f>
        <v>3</v>
      </c>
      <c r="AV13" s="199">
        <f>IF(D7="","",DAY($D$7+33))</f>
        <v>4</v>
      </c>
      <c r="AW13" s="199">
        <f>IF(D7="","",DAY($D$7+34))</f>
        <v>5</v>
      </c>
      <c r="AX13" s="199">
        <f>IF(D7="","",DAY($D$7+35))</f>
        <v>6</v>
      </c>
      <c r="AY13" s="199">
        <f>IF(D7="","",DAY($D$7+36))</f>
        <v>7</v>
      </c>
      <c r="AZ13" s="199">
        <f>IF(D7="","",DAY($D$7+37))</f>
        <v>8</v>
      </c>
      <c r="BA13" s="199">
        <f>IF(D7="","",DAY($D$7+38))</f>
        <v>9</v>
      </c>
      <c r="BB13" s="199">
        <f>IF(D7="","",DAY($D$7+39))</f>
        <v>10</v>
      </c>
      <c r="BC13" s="199">
        <f>IF(D7="","",DAY($D$7+40))</f>
        <v>11</v>
      </c>
      <c r="BD13" s="199">
        <f>IF(D7="","",DAY($D$7+41))</f>
        <v>12</v>
      </c>
      <c r="BE13" s="199">
        <f>IF(D7="","",DAY($D$7+42))</f>
        <v>13</v>
      </c>
      <c r="BF13" s="199">
        <f>IF(D7="","",DAY($D$7+43))</f>
        <v>14</v>
      </c>
      <c r="BG13" s="199">
        <f>IF(D7="","",DAY($D$7+44))</f>
        <v>15</v>
      </c>
      <c r="BH13" s="199">
        <f>IF(D7="","",DAY($D$7+45))</f>
        <v>16</v>
      </c>
      <c r="BI13" s="199">
        <f>IF(D7="","",DAY($D$7+46))</f>
        <v>17</v>
      </c>
      <c r="BJ13" s="199">
        <f>IF(D7="","",DAY($D$7+47))</f>
        <v>18</v>
      </c>
      <c r="BK13" s="199">
        <f>IF(D7="","",DAY($D$7+48))</f>
        <v>19</v>
      </c>
      <c r="BL13" s="199">
        <f>IF(D7="","",DAY($D$7+49))</f>
        <v>20</v>
      </c>
      <c r="BM13" s="199">
        <f>IF(D7="","",DAY($D$7+50))</f>
        <v>21</v>
      </c>
      <c r="BN13" s="199">
        <f>IF(D7="","",DAY($D$7+51))</f>
        <v>22</v>
      </c>
      <c r="BO13" s="199">
        <f>IF(D7="","",DAY($D$7+52))</f>
        <v>23</v>
      </c>
      <c r="BP13" s="199">
        <f>IF(D7="","",DAY($D$7+53))</f>
        <v>24</v>
      </c>
      <c r="BQ13" s="199">
        <f>IF(D7="","",DAY($D$7+54))</f>
        <v>25</v>
      </c>
      <c r="BR13" s="199">
        <f>IF(D7="","",DAY($D$7+55))</f>
        <v>26</v>
      </c>
      <c r="BS13" s="199">
        <f>IF(D7="","",DAY($D$7+56))</f>
        <v>27</v>
      </c>
      <c r="BT13" s="199">
        <f>IF(D7="","",DAY($D$7+57))</f>
        <v>28</v>
      </c>
      <c r="BU13" s="199">
        <f>IF(D7="","",DAY($D$7+58))</f>
        <v>29</v>
      </c>
      <c r="BV13" s="200">
        <f>IF(D7="","",DAY($D$7+59))</f>
        <v>30</v>
      </c>
      <c r="BW13" s="286"/>
      <c r="BX13" s="286"/>
      <c r="BY13" s="279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1"/>
      <c r="CK13" s="18"/>
      <c r="CL13" s="28"/>
      <c r="CM13" s="34"/>
      <c r="CN13" s="34"/>
      <c r="CO13" s="28"/>
      <c r="CP13" s="28"/>
      <c r="CQ13" s="5"/>
      <c r="CT13" s="166" t="str">
        <f>IF(C5&lt;&gt;"新型コロナウイルス感染症","○病棟別の有症状者数（累計）","")</f>
        <v/>
      </c>
      <c r="CX13" s="166" t="str">
        <f>IF(C5&lt;&gt;"新型コロナウイルス感染症","○死亡者数","")</f>
        <v/>
      </c>
    </row>
    <row r="14" spans="1:106" ht="14.1" customHeight="1" thickBot="1" x14ac:dyDescent="0.2">
      <c r="A14" s="236"/>
      <c r="B14" s="253"/>
      <c r="C14" s="254"/>
      <c r="D14" s="247"/>
      <c r="E14" s="248"/>
      <c r="F14" s="242"/>
      <c r="G14" s="271"/>
      <c r="H14" s="272"/>
      <c r="I14" s="239"/>
      <c r="J14" s="242"/>
      <c r="K14" s="242"/>
      <c r="L14" s="295"/>
      <c r="M14" s="239"/>
      <c r="N14" s="291"/>
      <c r="O14" s="201" t="str">
        <f>IFERROR(TEXT(O11,"aaa"),"")</f>
        <v>月</v>
      </c>
      <c r="P14" s="202" t="str">
        <f>IFERROR(TEXT(P11,"aaa"),"")</f>
        <v>火</v>
      </c>
      <c r="Q14" s="202" t="str">
        <f t="shared" ref="Q14:BV14" si="4">IFERROR(TEXT(Q11,"aaa"),"")</f>
        <v>水</v>
      </c>
      <c r="R14" s="202" t="str">
        <f t="shared" si="4"/>
        <v>木</v>
      </c>
      <c r="S14" s="202" t="str">
        <f t="shared" si="4"/>
        <v>金</v>
      </c>
      <c r="T14" s="202" t="str">
        <f t="shared" si="4"/>
        <v>土</v>
      </c>
      <c r="U14" s="202" t="str">
        <f t="shared" si="4"/>
        <v>日</v>
      </c>
      <c r="V14" s="202" t="str">
        <f t="shared" si="4"/>
        <v>月</v>
      </c>
      <c r="W14" s="202" t="str">
        <f t="shared" si="4"/>
        <v>火</v>
      </c>
      <c r="X14" s="202" t="str">
        <f t="shared" si="4"/>
        <v>水</v>
      </c>
      <c r="Y14" s="202" t="str">
        <f t="shared" si="4"/>
        <v>木</v>
      </c>
      <c r="Z14" s="202" t="str">
        <f t="shared" si="4"/>
        <v>金</v>
      </c>
      <c r="AA14" s="202" t="str">
        <f t="shared" si="4"/>
        <v>土</v>
      </c>
      <c r="AB14" s="202" t="str">
        <f t="shared" si="4"/>
        <v>日</v>
      </c>
      <c r="AC14" s="202" t="str">
        <f t="shared" si="4"/>
        <v>月</v>
      </c>
      <c r="AD14" s="202" t="str">
        <f t="shared" si="4"/>
        <v>火</v>
      </c>
      <c r="AE14" s="202" t="str">
        <f t="shared" si="4"/>
        <v>水</v>
      </c>
      <c r="AF14" s="202" t="str">
        <f t="shared" si="4"/>
        <v>木</v>
      </c>
      <c r="AG14" s="202" t="str">
        <f t="shared" si="4"/>
        <v>金</v>
      </c>
      <c r="AH14" s="202" t="str">
        <f t="shared" si="4"/>
        <v>土</v>
      </c>
      <c r="AI14" s="202" t="str">
        <f t="shared" si="4"/>
        <v>日</v>
      </c>
      <c r="AJ14" s="202" t="str">
        <f t="shared" si="4"/>
        <v>月</v>
      </c>
      <c r="AK14" s="202" t="str">
        <f t="shared" si="4"/>
        <v>火</v>
      </c>
      <c r="AL14" s="202" t="str">
        <f t="shared" si="4"/>
        <v>水</v>
      </c>
      <c r="AM14" s="202" t="str">
        <f t="shared" si="4"/>
        <v>木</v>
      </c>
      <c r="AN14" s="202" t="str">
        <f t="shared" si="4"/>
        <v>金</v>
      </c>
      <c r="AO14" s="202" t="str">
        <f t="shared" si="4"/>
        <v>土</v>
      </c>
      <c r="AP14" s="202" t="str">
        <f t="shared" si="4"/>
        <v>日</v>
      </c>
      <c r="AQ14" s="202" t="str">
        <f t="shared" si="4"/>
        <v>月</v>
      </c>
      <c r="AR14" s="202" t="str">
        <f t="shared" si="4"/>
        <v>火</v>
      </c>
      <c r="AS14" s="202" t="str">
        <f t="shared" si="4"/>
        <v>水</v>
      </c>
      <c r="AT14" s="202" t="str">
        <f t="shared" si="4"/>
        <v>木</v>
      </c>
      <c r="AU14" s="202" t="str">
        <f t="shared" si="4"/>
        <v>金</v>
      </c>
      <c r="AV14" s="202" t="str">
        <f t="shared" si="4"/>
        <v>土</v>
      </c>
      <c r="AW14" s="202" t="str">
        <f t="shared" si="4"/>
        <v>日</v>
      </c>
      <c r="AX14" s="202" t="str">
        <f t="shared" si="4"/>
        <v>月</v>
      </c>
      <c r="AY14" s="202" t="str">
        <f t="shared" si="4"/>
        <v>火</v>
      </c>
      <c r="AZ14" s="202" t="str">
        <f t="shared" si="4"/>
        <v>水</v>
      </c>
      <c r="BA14" s="202" t="str">
        <f t="shared" si="4"/>
        <v>木</v>
      </c>
      <c r="BB14" s="202" t="str">
        <f t="shared" si="4"/>
        <v>金</v>
      </c>
      <c r="BC14" s="202" t="str">
        <f t="shared" si="4"/>
        <v>土</v>
      </c>
      <c r="BD14" s="202" t="str">
        <f t="shared" si="4"/>
        <v>日</v>
      </c>
      <c r="BE14" s="202" t="str">
        <f t="shared" si="4"/>
        <v>月</v>
      </c>
      <c r="BF14" s="202" t="str">
        <f t="shared" si="4"/>
        <v>火</v>
      </c>
      <c r="BG14" s="202" t="str">
        <f t="shared" si="4"/>
        <v>水</v>
      </c>
      <c r="BH14" s="202" t="str">
        <f t="shared" si="4"/>
        <v>木</v>
      </c>
      <c r="BI14" s="202" t="str">
        <f t="shared" si="4"/>
        <v>金</v>
      </c>
      <c r="BJ14" s="202" t="str">
        <f t="shared" si="4"/>
        <v>土</v>
      </c>
      <c r="BK14" s="202" t="str">
        <f t="shared" si="4"/>
        <v>日</v>
      </c>
      <c r="BL14" s="202" t="str">
        <f t="shared" si="4"/>
        <v>月</v>
      </c>
      <c r="BM14" s="202" t="str">
        <f t="shared" si="4"/>
        <v>火</v>
      </c>
      <c r="BN14" s="202" t="str">
        <f t="shared" si="4"/>
        <v>水</v>
      </c>
      <c r="BO14" s="202" t="str">
        <f t="shared" si="4"/>
        <v>木</v>
      </c>
      <c r="BP14" s="202" t="str">
        <f t="shared" si="4"/>
        <v>金</v>
      </c>
      <c r="BQ14" s="202" t="str">
        <f t="shared" si="4"/>
        <v>土</v>
      </c>
      <c r="BR14" s="202" t="str">
        <f t="shared" si="4"/>
        <v>日</v>
      </c>
      <c r="BS14" s="202" t="str">
        <f t="shared" si="4"/>
        <v>月</v>
      </c>
      <c r="BT14" s="202" t="str">
        <f t="shared" si="4"/>
        <v>火</v>
      </c>
      <c r="BU14" s="202" t="str">
        <f t="shared" si="4"/>
        <v>水</v>
      </c>
      <c r="BV14" s="202" t="str">
        <f t="shared" si="4"/>
        <v>木</v>
      </c>
      <c r="BW14" s="287"/>
      <c r="BX14" s="287"/>
      <c r="BY14" s="282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4"/>
      <c r="CK14" s="36" t="s">
        <v>36</v>
      </c>
      <c r="CL14" s="37" t="s">
        <v>37</v>
      </c>
      <c r="CM14" s="263" t="s">
        <v>38</v>
      </c>
      <c r="CN14" s="263"/>
      <c r="CO14" s="41" t="s">
        <v>40</v>
      </c>
      <c r="CP14" s="28"/>
      <c r="CQ14" s="5"/>
      <c r="CU14" s="203" t="str">
        <f>IF(C5&lt;&gt;"新型コロナウイルス感染症","入院患者","")</f>
        <v/>
      </c>
      <c r="CV14" s="203" t="str">
        <f>IF(C5&lt;&gt;"新型コロナウイルス感染症","職員","")</f>
        <v/>
      </c>
      <c r="CY14" s="203" t="str">
        <f>IF(C5&lt;&gt;"新型コロナウイルス感染症","入院患者","")</f>
        <v/>
      </c>
      <c r="CZ14" s="203" t="str">
        <f>IF(C5&lt;&gt;"新型コロナウイルス感染症","職員","")</f>
        <v/>
      </c>
    </row>
    <row r="15" spans="1:106" ht="15" customHeight="1" x14ac:dyDescent="0.15">
      <c r="A15" s="85" t="str">
        <f>IF(B15="","","1")</f>
        <v>1</v>
      </c>
      <c r="B15" s="255" t="s">
        <v>73</v>
      </c>
      <c r="C15" s="256"/>
      <c r="D15" s="255" t="s">
        <v>22</v>
      </c>
      <c r="E15" s="256"/>
      <c r="F15" s="255" t="s">
        <v>45</v>
      </c>
      <c r="G15" s="273"/>
      <c r="H15" s="256"/>
      <c r="I15" s="89" t="s">
        <v>2</v>
      </c>
      <c r="J15" s="90">
        <v>83</v>
      </c>
      <c r="K15" s="91" t="s">
        <v>41</v>
      </c>
      <c r="L15" s="92">
        <v>45383</v>
      </c>
      <c r="M15" s="212">
        <v>45383</v>
      </c>
      <c r="N15" s="94" t="s">
        <v>7</v>
      </c>
      <c r="O15" s="213" t="s">
        <v>21</v>
      </c>
      <c r="P15" s="214" t="s">
        <v>21</v>
      </c>
      <c r="Q15" s="214" t="s">
        <v>21</v>
      </c>
      <c r="R15" s="214" t="s">
        <v>21</v>
      </c>
      <c r="S15" s="214" t="s">
        <v>21</v>
      </c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22"/>
      <c r="BW15" s="95">
        <v>45394</v>
      </c>
      <c r="BX15" s="96"/>
      <c r="BY15" s="97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9"/>
      <c r="CK15" s="6" t="b">
        <f t="shared" ref="CK15:CK46" si="5">COUNTIF(O15:BV15,"○")&gt;0</f>
        <v>1</v>
      </c>
      <c r="CL15" s="24">
        <f t="shared" ref="CL15:CL46" ca="1" si="6">IFERROR(OFFSET($O$11,0,MATCH("○",O15:BV15,0)-1,1,1),"")</f>
        <v>45383</v>
      </c>
      <c r="CM15" s="35">
        <f>IF(COUNTIF($B$15:B15,B15)=1,1,0)</f>
        <v>1</v>
      </c>
      <c r="CN15" s="35">
        <f>SUM($CM$15:CM15)</f>
        <v>1</v>
      </c>
      <c r="CO15" s="24"/>
      <c r="CP15" s="24"/>
      <c r="CQ15" s="5">
        <v>1</v>
      </c>
      <c r="CR15" s="1" t="str">
        <f t="shared" ref="CR15:CR24" si="7">IFERROR(INDEX(B:B,MATCH(CQ15,CN:CN,0)),"")</f>
        <v>東病棟</v>
      </c>
      <c r="CT15" s="203" t="str">
        <f>IF($C$5&lt;&gt;"新型コロナウイルス感染症",IFERROR(IFERROR(INDEX(B:B,MATCH(CQ15,CN:CN,0)),INDEX('記載様式（職員）'!B:B,MATCH(CQ15,'記載様式（職員）'!CL:CL,0))),""),"")</f>
        <v/>
      </c>
      <c r="CU15" s="204" t="str">
        <f t="shared" ref="CU15:CU24" si="8">IF(AND($C$5&lt;&gt;"新型コロナウイルス感染症",CT15&lt;&gt;""),COUNTIFS(B:B,CT15,CK:CK,TRUE),"")</f>
        <v/>
      </c>
      <c r="CV15" s="204" t="str">
        <f>IF('入力方法（職員）'!CP13="","",'入力方法（職員）'!CP13)</f>
        <v/>
      </c>
      <c r="CX15" s="166" t="str">
        <f>IF(C5&lt;&gt;"新型コロナウイルス感染症","死亡者数（累計）","")</f>
        <v/>
      </c>
      <c r="CY15" s="166" t="str">
        <f>IF(C5&lt;&gt;"新型コロナウイルス感染症",COUNTA(BX15:BX114),"")</f>
        <v/>
      </c>
      <c r="CZ15" s="203" t="str">
        <f>IF(C5&lt;&gt;"新型コロナウイルス感染症","ー","")</f>
        <v/>
      </c>
    </row>
    <row r="16" spans="1:106" ht="15" customHeight="1" x14ac:dyDescent="0.15">
      <c r="A16" s="86">
        <f>IFERROR(IF(B16="","",A15+1),"")</f>
        <v>2</v>
      </c>
      <c r="B16" s="232" t="s">
        <v>73</v>
      </c>
      <c r="C16" s="233"/>
      <c r="D16" s="232" t="s">
        <v>10</v>
      </c>
      <c r="E16" s="233"/>
      <c r="F16" s="257" t="s">
        <v>46</v>
      </c>
      <c r="G16" s="258"/>
      <c r="H16" s="259"/>
      <c r="I16" s="100" t="s">
        <v>3</v>
      </c>
      <c r="J16" s="160">
        <v>79</v>
      </c>
      <c r="K16" s="102" t="s">
        <v>41</v>
      </c>
      <c r="L16" s="92">
        <v>45383</v>
      </c>
      <c r="M16" s="104">
        <v>45383</v>
      </c>
      <c r="N16" s="104" t="s">
        <v>8</v>
      </c>
      <c r="O16" s="215" t="s">
        <v>21</v>
      </c>
      <c r="P16" s="216" t="s">
        <v>21</v>
      </c>
      <c r="Q16" s="216" t="s">
        <v>21</v>
      </c>
      <c r="R16" s="216" t="s">
        <v>21</v>
      </c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23"/>
      <c r="BW16" s="105">
        <v>45394</v>
      </c>
      <c r="BX16" s="106"/>
      <c r="BY16" s="97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9"/>
      <c r="CK16" s="6" t="b">
        <f t="shared" si="5"/>
        <v>1</v>
      </c>
      <c r="CL16" s="24">
        <f t="shared" ca="1" si="6"/>
        <v>45383</v>
      </c>
      <c r="CM16" s="35">
        <f>IF(COUNTIF($B$15:B16,B16)=1,1,0)</f>
        <v>0</v>
      </c>
      <c r="CN16" s="35">
        <f>SUM($CM$15:CM16)</f>
        <v>1</v>
      </c>
      <c r="CO16" s="24"/>
      <c r="CP16" s="24"/>
      <c r="CQ16" s="5">
        <v>2</v>
      </c>
      <c r="CR16" s="1" t="str">
        <f t="shared" si="7"/>
        <v/>
      </c>
      <c r="CT16" s="203" t="str">
        <f>IF($C$5&lt;&gt;"新型コロナウイルス感染症",IFERROR(IFERROR(INDEX(B:B,MATCH(CQ16,CN:CN,0)),INDEX('記載様式（職員）'!B:B,MATCH(CQ16,'記載様式（職員）'!CL:CL,0))),""),"")</f>
        <v/>
      </c>
      <c r="CU16" s="204" t="str">
        <f t="shared" si="8"/>
        <v/>
      </c>
      <c r="CV16" s="204"/>
    </row>
    <row r="17" spans="1:106" s="2" customFormat="1" ht="15" customHeight="1" x14ac:dyDescent="0.15">
      <c r="A17" s="86">
        <f t="shared" ref="A17:A80" si="9">IFERROR(IF(B17="","",A16+1),"")</f>
        <v>3</v>
      </c>
      <c r="B17" s="232" t="s">
        <v>73</v>
      </c>
      <c r="C17" s="233"/>
      <c r="D17" s="232" t="s">
        <v>11</v>
      </c>
      <c r="E17" s="233"/>
      <c r="F17" s="257" t="s">
        <v>47</v>
      </c>
      <c r="G17" s="258"/>
      <c r="H17" s="259"/>
      <c r="I17" s="100" t="s">
        <v>2</v>
      </c>
      <c r="J17" s="160">
        <v>86</v>
      </c>
      <c r="K17" s="102" t="s">
        <v>41</v>
      </c>
      <c r="L17" s="92">
        <v>45383</v>
      </c>
      <c r="M17" s="104">
        <v>45383</v>
      </c>
      <c r="N17" s="104" t="s">
        <v>7</v>
      </c>
      <c r="O17" s="215" t="s">
        <v>21</v>
      </c>
      <c r="P17" s="216" t="s">
        <v>21</v>
      </c>
      <c r="Q17" s="216" t="s">
        <v>21</v>
      </c>
      <c r="R17" s="216" t="s">
        <v>21</v>
      </c>
      <c r="S17" s="216" t="s">
        <v>21</v>
      </c>
      <c r="T17" s="216" t="s">
        <v>21</v>
      </c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23"/>
      <c r="BW17" s="107">
        <v>45394</v>
      </c>
      <c r="BX17" s="108"/>
      <c r="BY17" s="109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9"/>
      <c r="CK17" s="6" t="b">
        <f t="shared" si="5"/>
        <v>1</v>
      </c>
      <c r="CL17" s="24">
        <f t="shared" ca="1" si="6"/>
        <v>45383</v>
      </c>
      <c r="CM17" s="35">
        <f>IF(COUNTIF($B$15:B17,B17)=1,1,0)</f>
        <v>0</v>
      </c>
      <c r="CN17" s="35">
        <f>SUM($CM$15:CM17)</f>
        <v>1</v>
      </c>
      <c r="CO17" s="24"/>
      <c r="CP17" s="24"/>
      <c r="CQ17" s="9">
        <v>3</v>
      </c>
      <c r="CR17" s="1" t="str">
        <f t="shared" si="7"/>
        <v/>
      </c>
      <c r="CS17" s="166"/>
      <c r="CT17" s="203" t="str">
        <f>IF($C$5&lt;&gt;"新型コロナウイルス感染症",IFERROR(IFERROR(INDEX(B:B,MATCH(CQ17,CN:CN,0)),INDEX('記載様式（職員）'!B:B,MATCH(CQ17,'記載様式（職員）'!CL:CL,0))),""),"")</f>
        <v/>
      </c>
      <c r="CU17" s="204" t="str">
        <f t="shared" si="8"/>
        <v/>
      </c>
      <c r="CV17" s="204"/>
      <c r="CW17" s="166"/>
      <c r="CX17" s="166"/>
      <c r="CY17" s="166"/>
      <c r="CZ17" s="166"/>
      <c r="DA17" s="166"/>
      <c r="DB17" s="166"/>
    </row>
    <row r="18" spans="1:106" ht="15" customHeight="1" x14ac:dyDescent="0.15">
      <c r="A18" s="86">
        <f t="shared" si="9"/>
        <v>4</v>
      </c>
      <c r="B18" s="232" t="s">
        <v>73</v>
      </c>
      <c r="C18" s="233"/>
      <c r="D18" s="232" t="s">
        <v>23</v>
      </c>
      <c r="E18" s="233"/>
      <c r="F18" s="257" t="s">
        <v>48</v>
      </c>
      <c r="G18" s="258"/>
      <c r="H18" s="259"/>
      <c r="I18" s="100" t="s">
        <v>2</v>
      </c>
      <c r="J18" s="110">
        <v>90</v>
      </c>
      <c r="K18" s="102" t="s">
        <v>41</v>
      </c>
      <c r="L18" s="92">
        <v>45384</v>
      </c>
      <c r="M18" s="104">
        <v>45384</v>
      </c>
      <c r="N18" s="104" t="s">
        <v>50</v>
      </c>
      <c r="O18" s="215"/>
      <c r="P18" s="216" t="s">
        <v>21</v>
      </c>
      <c r="Q18" s="216" t="s">
        <v>21</v>
      </c>
      <c r="R18" s="216" t="s">
        <v>21</v>
      </c>
      <c r="S18" s="216" t="s">
        <v>21</v>
      </c>
      <c r="T18" s="216" t="s">
        <v>21</v>
      </c>
      <c r="U18" s="216" t="s">
        <v>21</v>
      </c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23"/>
      <c r="BW18" s="112">
        <v>45395</v>
      </c>
      <c r="BX18" s="96"/>
      <c r="BY18" s="113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5"/>
      <c r="CK18" s="6" t="b">
        <f t="shared" si="5"/>
        <v>1</v>
      </c>
      <c r="CL18" s="24">
        <f t="shared" ca="1" si="6"/>
        <v>45384</v>
      </c>
      <c r="CM18" s="35">
        <f>IF(COUNTIF($B$15:B18,B18)=1,1,0)</f>
        <v>0</v>
      </c>
      <c r="CN18" s="35">
        <f>SUM($CM$15:CM18)</f>
        <v>1</v>
      </c>
      <c r="CO18" s="24"/>
      <c r="CP18" s="24"/>
      <c r="CQ18" s="9">
        <v>4</v>
      </c>
      <c r="CR18" s="1" t="str">
        <f t="shared" si="7"/>
        <v/>
      </c>
      <c r="CT18" s="203" t="str">
        <f>IF($C$5&lt;&gt;"新型コロナウイルス感染症",IFERROR(IFERROR(INDEX(B:B,MATCH(CQ18,CN:CN,0)),INDEX('記載様式（職員）'!B:B,MATCH(CQ18,'記載様式（職員）'!CL:CL,0))),""),"")</f>
        <v/>
      </c>
      <c r="CU18" s="204" t="str">
        <f t="shared" si="8"/>
        <v/>
      </c>
      <c r="CV18" s="204"/>
    </row>
    <row r="19" spans="1:106" s="2" customFormat="1" ht="15" customHeight="1" x14ac:dyDescent="0.15">
      <c r="A19" s="86">
        <f t="shared" si="9"/>
        <v>5</v>
      </c>
      <c r="B19" s="232" t="s">
        <v>73</v>
      </c>
      <c r="C19" s="233"/>
      <c r="D19" s="232" t="s">
        <v>12</v>
      </c>
      <c r="E19" s="233"/>
      <c r="F19" s="257" t="s">
        <v>49</v>
      </c>
      <c r="G19" s="258"/>
      <c r="H19" s="259"/>
      <c r="I19" s="102" t="s">
        <v>3</v>
      </c>
      <c r="J19" s="160">
        <v>87</v>
      </c>
      <c r="K19" s="102" t="s">
        <v>41</v>
      </c>
      <c r="L19" s="92">
        <v>45384</v>
      </c>
      <c r="M19" s="104">
        <v>45384</v>
      </c>
      <c r="N19" s="100" t="s">
        <v>51</v>
      </c>
      <c r="O19" s="215"/>
      <c r="P19" s="216" t="s">
        <v>21</v>
      </c>
      <c r="Q19" s="216" t="s">
        <v>21</v>
      </c>
      <c r="R19" s="216" t="s">
        <v>21</v>
      </c>
      <c r="S19" s="216" t="s">
        <v>21</v>
      </c>
      <c r="T19" s="216" t="s">
        <v>21</v>
      </c>
      <c r="U19" s="216" t="s">
        <v>21</v>
      </c>
      <c r="V19" s="216" t="s">
        <v>21</v>
      </c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23"/>
      <c r="BW19" s="112">
        <v>45395</v>
      </c>
      <c r="BX19" s="96"/>
      <c r="BY19" s="109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9"/>
      <c r="CK19" s="6" t="b">
        <f t="shared" si="5"/>
        <v>1</v>
      </c>
      <c r="CL19" s="24">
        <f t="shared" ca="1" si="6"/>
        <v>45384</v>
      </c>
      <c r="CM19" s="35">
        <f>IF(COUNTIF($B$15:B19,B19)=1,1,0)</f>
        <v>0</v>
      </c>
      <c r="CN19" s="35">
        <f>SUM($CM$15:CM19)</f>
        <v>1</v>
      </c>
      <c r="CO19" s="24"/>
      <c r="CP19" s="24"/>
      <c r="CQ19" s="9">
        <v>5</v>
      </c>
      <c r="CR19" s="1" t="str">
        <f t="shared" si="7"/>
        <v/>
      </c>
      <c r="CS19" s="166"/>
      <c r="CT19" s="203" t="str">
        <f>IF($C$5&lt;&gt;"新型コロナウイルス感染症",IFERROR(IFERROR(INDEX(B:B,MATCH(CQ19,CN:CN,0)),INDEX('記載様式（職員）'!B:B,MATCH(CQ19,'記載様式（職員）'!CL:CL,0))),""),"")</f>
        <v/>
      </c>
      <c r="CU19" s="204" t="str">
        <f t="shared" si="8"/>
        <v/>
      </c>
      <c r="CV19" s="204"/>
      <c r="CW19" s="166"/>
      <c r="CX19" s="166"/>
      <c r="CY19" s="166"/>
      <c r="CZ19" s="166"/>
      <c r="DA19" s="166"/>
      <c r="DB19" s="166"/>
    </row>
    <row r="20" spans="1:106" ht="15" customHeight="1" x14ac:dyDescent="0.15">
      <c r="A20" s="86" t="str">
        <f t="shared" si="9"/>
        <v/>
      </c>
      <c r="B20" s="232"/>
      <c r="C20" s="233"/>
      <c r="D20" s="232"/>
      <c r="E20" s="233"/>
      <c r="F20" s="257"/>
      <c r="G20" s="258"/>
      <c r="H20" s="259"/>
      <c r="I20" s="102"/>
      <c r="J20" s="160"/>
      <c r="K20" s="102"/>
      <c r="L20" s="92"/>
      <c r="M20" s="104"/>
      <c r="N20" s="104"/>
      <c r="O20" s="215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23"/>
      <c r="BW20" s="112"/>
      <c r="BX20" s="96"/>
      <c r="BY20" s="97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9"/>
      <c r="CK20" s="6" t="b">
        <f t="shared" si="5"/>
        <v>0</v>
      </c>
      <c r="CL20" s="24" t="str">
        <f t="shared" ca="1" si="6"/>
        <v/>
      </c>
      <c r="CM20" s="35">
        <f>IF(COUNTIF($B$15:B20,B20)=1,1,0)</f>
        <v>0</v>
      </c>
      <c r="CN20" s="35">
        <f>SUM($CM$15:CM20)</f>
        <v>1</v>
      </c>
      <c r="CO20" s="24"/>
      <c r="CP20" s="24"/>
      <c r="CQ20" s="9">
        <v>6</v>
      </c>
      <c r="CR20" s="1" t="str">
        <f t="shared" si="7"/>
        <v/>
      </c>
      <c r="CT20" s="203" t="str">
        <f>IF($C$5&lt;&gt;"新型コロナウイルス感染症",IFERROR(IFERROR(INDEX(B:B,MATCH(CQ20,CN:CN,0)),INDEX('記載様式（職員）'!B:B,MATCH(CQ20,'記載様式（職員）'!CL:CL,0))),""),"")</f>
        <v/>
      </c>
      <c r="CU20" s="204" t="str">
        <f t="shared" si="8"/>
        <v/>
      </c>
      <c r="CV20" s="204"/>
    </row>
    <row r="21" spans="1:106" ht="15" customHeight="1" x14ac:dyDescent="0.15">
      <c r="A21" s="86" t="str">
        <f t="shared" si="9"/>
        <v/>
      </c>
      <c r="B21" s="232"/>
      <c r="C21" s="233"/>
      <c r="D21" s="232"/>
      <c r="E21" s="233"/>
      <c r="F21" s="257"/>
      <c r="G21" s="258"/>
      <c r="H21" s="259"/>
      <c r="I21" s="102"/>
      <c r="J21" s="160"/>
      <c r="K21" s="102"/>
      <c r="L21" s="92"/>
      <c r="M21" s="104"/>
      <c r="N21" s="100"/>
      <c r="O21" s="215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23"/>
      <c r="BW21" s="112"/>
      <c r="BX21" s="96"/>
      <c r="BY21" s="97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9"/>
      <c r="CK21" s="6" t="b">
        <f t="shared" si="5"/>
        <v>0</v>
      </c>
      <c r="CL21" s="24" t="str">
        <f t="shared" ca="1" si="6"/>
        <v/>
      </c>
      <c r="CM21" s="35">
        <f>IF(COUNTIF($B$15:B21,B21)=1,1,0)</f>
        <v>0</v>
      </c>
      <c r="CN21" s="35">
        <f>SUM($CM$15:CM21)</f>
        <v>1</v>
      </c>
      <c r="CO21" s="24"/>
      <c r="CP21" s="24"/>
      <c r="CQ21" s="9">
        <v>7</v>
      </c>
      <c r="CR21" s="1" t="str">
        <f t="shared" si="7"/>
        <v/>
      </c>
      <c r="CT21" s="203" t="str">
        <f>IF($C$5&lt;&gt;"新型コロナウイルス感染症",IFERROR(IFERROR(INDEX(B:B,MATCH(CQ21,CN:CN,0)),INDEX('記載様式（職員）'!B:B,MATCH(CQ21,'記載様式（職員）'!CL:CL,0))),""),"")</f>
        <v/>
      </c>
      <c r="CU21" s="204" t="str">
        <f t="shared" si="8"/>
        <v/>
      </c>
      <c r="CV21" s="204"/>
    </row>
    <row r="22" spans="1:106" s="2" customFormat="1" ht="15" customHeight="1" x14ac:dyDescent="0.15">
      <c r="A22" s="86" t="str">
        <f t="shared" si="9"/>
        <v/>
      </c>
      <c r="B22" s="232"/>
      <c r="C22" s="233"/>
      <c r="D22" s="232"/>
      <c r="E22" s="233"/>
      <c r="F22" s="257"/>
      <c r="G22" s="258"/>
      <c r="H22" s="259"/>
      <c r="I22" s="102"/>
      <c r="J22" s="160"/>
      <c r="K22" s="102"/>
      <c r="L22" s="92"/>
      <c r="M22" s="104"/>
      <c r="N22" s="104"/>
      <c r="O22" s="217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23"/>
      <c r="BW22" s="116"/>
      <c r="BX22" s="96"/>
      <c r="BY22" s="113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9"/>
      <c r="CK22" s="6" t="b">
        <f t="shared" si="5"/>
        <v>0</v>
      </c>
      <c r="CL22" s="24" t="str">
        <f t="shared" ca="1" si="6"/>
        <v/>
      </c>
      <c r="CM22" s="35">
        <f>IF(COUNTIF($B$15:B22,B22)=1,1,0)</f>
        <v>0</v>
      </c>
      <c r="CN22" s="35">
        <f>SUM($CM$15:CM22)</f>
        <v>1</v>
      </c>
      <c r="CO22" s="24"/>
      <c r="CP22" s="24"/>
      <c r="CQ22" s="9">
        <v>8</v>
      </c>
      <c r="CR22" s="1" t="str">
        <f t="shared" si="7"/>
        <v/>
      </c>
      <c r="CS22" s="166"/>
      <c r="CT22" s="203" t="str">
        <f>IF($C$5&lt;&gt;"新型コロナウイルス感染症",IFERROR(IFERROR(INDEX(B:B,MATCH(CQ22,CN:CN,0)),INDEX('記載様式（職員）'!B:B,MATCH(CQ22,'記載様式（職員）'!CL:CL,0))),""),"")</f>
        <v/>
      </c>
      <c r="CU22" s="204" t="str">
        <f t="shared" si="8"/>
        <v/>
      </c>
      <c r="CV22" s="204"/>
      <c r="CW22" s="166"/>
      <c r="CX22" s="166"/>
      <c r="CY22" s="166"/>
      <c r="CZ22" s="166"/>
      <c r="DA22" s="166"/>
      <c r="DB22" s="166"/>
    </row>
    <row r="23" spans="1:106" s="2" customFormat="1" ht="15" customHeight="1" x14ac:dyDescent="0.15">
      <c r="A23" s="86" t="str">
        <f t="shared" si="9"/>
        <v/>
      </c>
      <c r="B23" s="232"/>
      <c r="C23" s="233"/>
      <c r="D23" s="232"/>
      <c r="E23" s="233"/>
      <c r="F23" s="257"/>
      <c r="G23" s="258"/>
      <c r="H23" s="259"/>
      <c r="I23" s="102"/>
      <c r="J23" s="160"/>
      <c r="K23" s="102"/>
      <c r="L23" s="92"/>
      <c r="M23" s="104"/>
      <c r="N23" s="104"/>
      <c r="O23" s="217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23"/>
      <c r="BW23" s="116"/>
      <c r="BX23" s="96"/>
      <c r="BY23" s="97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9"/>
      <c r="CK23" s="6" t="b">
        <f t="shared" si="5"/>
        <v>0</v>
      </c>
      <c r="CL23" s="24" t="str">
        <f t="shared" ca="1" si="6"/>
        <v/>
      </c>
      <c r="CM23" s="35">
        <f>IF(COUNTIF($B$15:B23,B23)=1,1,0)</f>
        <v>0</v>
      </c>
      <c r="CN23" s="35">
        <f>SUM($CM$15:CM23)</f>
        <v>1</v>
      </c>
      <c r="CO23" s="24"/>
      <c r="CP23" s="24"/>
      <c r="CQ23" s="9">
        <v>9</v>
      </c>
      <c r="CR23" s="1" t="str">
        <f t="shared" si="7"/>
        <v/>
      </c>
      <c r="CS23" s="166"/>
      <c r="CT23" s="203" t="str">
        <f>IF($C$5&lt;&gt;"新型コロナウイルス感染症",IFERROR(IFERROR(INDEX(B:B,MATCH(CQ23,CN:CN,0)),INDEX('記載様式（職員）'!B:B,MATCH(CQ23,'記載様式（職員）'!CL:CL,0))),""),"")</f>
        <v/>
      </c>
      <c r="CU23" s="204" t="str">
        <f t="shared" si="8"/>
        <v/>
      </c>
      <c r="CV23" s="204"/>
      <c r="CW23" s="166"/>
      <c r="CX23" s="166"/>
      <c r="CY23" s="166"/>
      <c r="CZ23" s="166"/>
      <c r="DA23" s="166"/>
      <c r="DB23" s="166"/>
    </row>
    <row r="24" spans="1:106" s="2" customFormat="1" ht="15" customHeight="1" x14ac:dyDescent="0.15">
      <c r="A24" s="86" t="str">
        <f t="shared" si="9"/>
        <v/>
      </c>
      <c r="B24" s="232"/>
      <c r="C24" s="233"/>
      <c r="D24" s="232"/>
      <c r="E24" s="233"/>
      <c r="F24" s="257"/>
      <c r="G24" s="258"/>
      <c r="H24" s="259"/>
      <c r="I24" s="102"/>
      <c r="J24" s="160"/>
      <c r="K24" s="102"/>
      <c r="L24" s="117"/>
      <c r="M24" s="100"/>
      <c r="N24" s="100"/>
      <c r="O24" s="218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24"/>
      <c r="BW24" s="116"/>
      <c r="BX24" s="96"/>
      <c r="BY24" s="109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9"/>
      <c r="CK24" s="6" t="b">
        <f t="shared" si="5"/>
        <v>0</v>
      </c>
      <c r="CL24" s="24" t="str">
        <f t="shared" ca="1" si="6"/>
        <v/>
      </c>
      <c r="CM24" s="35">
        <f>IF(COUNTIF($B$15:B24,B24)=1,1,0)</f>
        <v>0</v>
      </c>
      <c r="CN24" s="35">
        <f>SUM($CM$15:CM24)</f>
        <v>1</v>
      </c>
      <c r="CO24" s="24"/>
      <c r="CP24" s="24"/>
      <c r="CQ24" s="9">
        <v>10</v>
      </c>
      <c r="CR24" s="1" t="str">
        <f t="shared" si="7"/>
        <v/>
      </c>
      <c r="CS24" s="166"/>
      <c r="CT24" s="203" t="str">
        <f>IF($C$5&lt;&gt;"新型コロナウイルス感染症",IFERROR(IFERROR(INDEX(B:B,MATCH(CQ24,CN:CN,0)),INDEX('記載様式（職員）'!B:B,MATCH(CQ24,'記載様式（職員）'!CL:CL,0))),""),"")</f>
        <v/>
      </c>
      <c r="CU24" s="204" t="str">
        <f t="shared" si="8"/>
        <v/>
      </c>
      <c r="CV24" s="204"/>
      <c r="CW24" s="166"/>
      <c r="CX24" s="166"/>
      <c r="CY24" s="166"/>
      <c r="CZ24" s="166"/>
      <c r="DA24" s="166"/>
      <c r="DB24" s="166"/>
    </row>
    <row r="25" spans="1:106" s="2" customFormat="1" ht="15" customHeight="1" x14ac:dyDescent="0.15">
      <c r="A25" s="86" t="str">
        <f t="shared" si="9"/>
        <v/>
      </c>
      <c r="B25" s="232"/>
      <c r="C25" s="233"/>
      <c r="D25" s="232"/>
      <c r="E25" s="233"/>
      <c r="F25" s="257"/>
      <c r="G25" s="258"/>
      <c r="H25" s="259"/>
      <c r="I25" s="102"/>
      <c r="J25" s="160"/>
      <c r="K25" s="102"/>
      <c r="L25" s="117"/>
      <c r="M25" s="100"/>
      <c r="N25" s="100"/>
      <c r="O25" s="218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24"/>
      <c r="BW25" s="116"/>
      <c r="BX25" s="96"/>
      <c r="BY25" s="109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9"/>
      <c r="CK25" s="6" t="b">
        <f t="shared" si="5"/>
        <v>0</v>
      </c>
      <c r="CL25" s="24" t="str">
        <f t="shared" ca="1" si="6"/>
        <v/>
      </c>
      <c r="CM25" s="35">
        <f>IF(COUNTIF($B$15:B25,B25)=1,1,0)</f>
        <v>0</v>
      </c>
      <c r="CN25" s="35">
        <f>SUM($CM$15:CM25)</f>
        <v>1</v>
      </c>
      <c r="CO25" s="24"/>
      <c r="CP25" s="24"/>
      <c r="CQ25" s="9"/>
      <c r="CS25" s="166"/>
      <c r="CT25" s="203" t="str">
        <f>IF(C5&lt;&gt;"新型コロナウイルス感染症","計","")</f>
        <v/>
      </c>
      <c r="CU25" s="166" t="str">
        <f>IF(C5&lt;&gt;"新型コロナウイルス感染症",SUM(CU15:CU24),"")</f>
        <v/>
      </c>
      <c r="CV25" s="166" t="str">
        <f>IF(C5&lt;&gt;"新型コロナウイルス感染症",SUM(CV15:CV24),"")</f>
        <v/>
      </c>
      <c r="CW25" s="166"/>
      <c r="CX25" s="166"/>
      <c r="CY25" s="166"/>
      <c r="CZ25" s="166"/>
      <c r="DA25" s="166"/>
      <c r="DB25" s="166"/>
    </row>
    <row r="26" spans="1:106" s="2" customFormat="1" ht="15" customHeight="1" x14ac:dyDescent="0.15">
      <c r="A26" s="86" t="str">
        <f t="shared" si="9"/>
        <v/>
      </c>
      <c r="B26" s="232"/>
      <c r="C26" s="233"/>
      <c r="D26" s="232"/>
      <c r="E26" s="233"/>
      <c r="F26" s="257"/>
      <c r="G26" s="258"/>
      <c r="H26" s="259"/>
      <c r="I26" s="102"/>
      <c r="J26" s="160"/>
      <c r="K26" s="102"/>
      <c r="L26" s="117"/>
      <c r="M26" s="100"/>
      <c r="N26" s="100"/>
      <c r="O26" s="218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24"/>
      <c r="BW26" s="116"/>
      <c r="BX26" s="96"/>
      <c r="BY26" s="109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9"/>
      <c r="CK26" s="6" t="b">
        <f t="shared" si="5"/>
        <v>0</v>
      </c>
      <c r="CL26" s="24" t="str">
        <f t="shared" ca="1" si="6"/>
        <v/>
      </c>
      <c r="CM26" s="35">
        <f>IF(COUNTIF($B$15:B26,B26)=1,1,0)</f>
        <v>0</v>
      </c>
      <c r="CN26" s="35">
        <f>SUM($CM$15:CM26)</f>
        <v>1</v>
      </c>
      <c r="CO26" s="24"/>
      <c r="CP26" s="24"/>
      <c r="CQ26" s="9"/>
      <c r="CS26" s="166"/>
      <c r="CT26" s="166" t="str">
        <f>IF(C5="新型コロナウイルス感染症","入力内容から発生人数を算出しています。WEB報告の参考としてください。","")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U26" s="166"/>
      <c r="CV26" s="166"/>
      <c r="CW26" s="166"/>
      <c r="CX26" s="166"/>
      <c r="CY26" s="166"/>
      <c r="CZ26" s="166"/>
      <c r="DA26" s="166"/>
      <c r="DB26" s="166"/>
    </row>
    <row r="27" spans="1:106" s="2" customFormat="1" ht="15" customHeight="1" x14ac:dyDescent="0.15">
      <c r="A27" s="86" t="str">
        <f t="shared" si="9"/>
        <v/>
      </c>
      <c r="B27" s="232"/>
      <c r="C27" s="233"/>
      <c r="D27" s="232"/>
      <c r="E27" s="233"/>
      <c r="F27" s="257"/>
      <c r="G27" s="258"/>
      <c r="H27" s="259"/>
      <c r="I27" s="102"/>
      <c r="J27" s="160"/>
      <c r="K27" s="102"/>
      <c r="L27" s="92"/>
      <c r="M27" s="104"/>
      <c r="N27" s="104"/>
      <c r="O27" s="218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24"/>
      <c r="BW27" s="116"/>
      <c r="BX27" s="96"/>
      <c r="BY27" s="120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5"/>
      <c r="CK27" s="6" t="b">
        <f t="shared" si="5"/>
        <v>0</v>
      </c>
      <c r="CL27" s="24" t="str">
        <f t="shared" ca="1" si="6"/>
        <v/>
      </c>
      <c r="CM27" s="35">
        <f>IF(COUNTIF($B$15:B27,B27)=1,1,0)</f>
        <v>0</v>
      </c>
      <c r="CN27" s="35">
        <f>SUM($CM$15:CM27)</f>
        <v>1</v>
      </c>
      <c r="CO27" s="24"/>
      <c r="CP27" s="24"/>
      <c r="CS27" s="166"/>
      <c r="CT27" s="166" t="str">
        <f>IF(C5="新型コロナウイルス感染症","○病棟別の陽性者数（累計）","")</f>
        <v>○病棟別の陽性者数（累計）</v>
      </c>
      <c r="CU27" s="166"/>
      <c r="CV27" s="166"/>
      <c r="CW27" s="166"/>
      <c r="CX27" s="166" t="str">
        <f>IF(C5="新型コロナウイルス感染症","○死亡者数","")</f>
        <v>○死亡者数</v>
      </c>
      <c r="CY27" s="166"/>
      <c r="CZ27" s="166"/>
      <c r="DA27" s="166"/>
      <c r="DB27" s="166"/>
    </row>
    <row r="28" spans="1:106" s="2" customFormat="1" ht="15" customHeight="1" x14ac:dyDescent="0.15">
      <c r="A28" s="86" t="str">
        <f t="shared" si="9"/>
        <v/>
      </c>
      <c r="B28" s="232"/>
      <c r="C28" s="233"/>
      <c r="D28" s="232"/>
      <c r="E28" s="233"/>
      <c r="F28" s="257"/>
      <c r="G28" s="258"/>
      <c r="H28" s="259"/>
      <c r="I28" s="102"/>
      <c r="J28" s="160"/>
      <c r="K28" s="102"/>
      <c r="L28" s="117"/>
      <c r="M28" s="100"/>
      <c r="N28" s="100"/>
      <c r="O28" s="217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23"/>
      <c r="BW28" s="116"/>
      <c r="BX28" s="96"/>
      <c r="BY28" s="109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9"/>
      <c r="CK28" s="6" t="b">
        <f t="shared" si="5"/>
        <v>0</v>
      </c>
      <c r="CL28" s="24" t="str">
        <f t="shared" ca="1" si="6"/>
        <v/>
      </c>
      <c r="CM28" s="35">
        <f>IF(COUNTIF($B$15:B28,B28)=1,1,0)</f>
        <v>0</v>
      </c>
      <c r="CN28" s="35">
        <f>SUM($CM$15:CM28)</f>
        <v>1</v>
      </c>
      <c r="CO28" s="24"/>
      <c r="CP28" s="24"/>
      <c r="CS28" s="166"/>
      <c r="CT28" s="166"/>
      <c r="CU28" s="203" t="str">
        <f>IF(C5="新型コロナウイルス感染症","入院患者","")</f>
        <v>入院患者</v>
      </c>
      <c r="CV28" s="203" t="str">
        <f>IF(C5="新型コロナウイルス感染症","職員","")</f>
        <v>職員</v>
      </c>
      <c r="CW28" s="166"/>
      <c r="CX28" s="166"/>
      <c r="CY28" s="203" t="str">
        <f>IF(C5="新型コロナウイルス感染症","入院患者","")</f>
        <v>入院患者</v>
      </c>
      <c r="CZ28" s="203" t="str">
        <f>IF(C5="新型コロナウイルス感染症","職員","")</f>
        <v>職員</v>
      </c>
      <c r="DA28" s="166"/>
      <c r="DB28" s="166"/>
    </row>
    <row r="29" spans="1:106" s="2" customFormat="1" ht="15" customHeight="1" x14ac:dyDescent="0.15">
      <c r="A29" s="86" t="str">
        <f t="shared" si="9"/>
        <v/>
      </c>
      <c r="B29" s="232"/>
      <c r="C29" s="233"/>
      <c r="D29" s="232"/>
      <c r="E29" s="233"/>
      <c r="F29" s="257"/>
      <c r="G29" s="258"/>
      <c r="H29" s="259"/>
      <c r="I29" s="102"/>
      <c r="J29" s="160"/>
      <c r="K29" s="102"/>
      <c r="L29" s="117"/>
      <c r="M29" s="100"/>
      <c r="N29" s="100"/>
      <c r="O29" s="218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24"/>
      <c r="BW29" s="116"/>
      <c r="BX29" s="96"/>
      <c r="BY29" s="109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9"/>
      <c r="CK29" s="6" t="b">
        <f t="shared" si="5"/>
        <v>0</v>
      </c>
      <c r="CL29" s="24" t="str">
        <f t="shared" ca="1" si="6"/>
        <v/>
      </c>
      <c r="CM29" s="35">
        <f>IF(COUNTIF($B$15:B29,B29)=1,1,0)</f>
        <v>0</v>
      </c>
      <c r="CN29" s="35">
        <f>SUM($CM$15:CM29)</f>
        <v>1</v>
      </c>
      <c r="CO29" s="24"/>
      <c r="CP29" s="24"/>
      <c r="CS29" s="166"/>
      <c r="CT29" s="203" t="str">
        <f>IF($C$5="新型コロナウイルス感染症",IFERROR(IFERROR(INDEX(B:B,MATCH(CQ15,CN:CN,0)),INDEX('入力方法（職員）'!B:B,MATCH(CQ15,'入力方法（職員）'!CL:CL,0))),""),"")</f>
        <v>東病棟</v>
      </c>
      <c r="CU29" s="166">
        <f t="shared" ref="CU29:CU38" si="10">IF(AND($C$5="新型コロナウイルス感染症",CT29&lt;&gt;""),COUNTIFS(B:B,CT29,K:K,"陽性"),"")</f>
        <v>5</v>
      </c>
      <c r="CV29" s="166">
        <f>IF('入力方法（職員）'!CP27="","",'入力方法（職員）'!CP27)</f>
        <v>5</v>
      </c>
      <c r="CW29" s="166"/>
      <c r="CX29" s="166" t="str">
        <f>IF(C5="新型コロナウイルス感染症","死亡者数（累計）","")</f>
        <v>死亡者数（累計）</v>
      </c>
      <c r="CY29" s="166">
        <f>IF(C5="新型コロナウイルス感染症",COUNTA(BX15:BX114),"")</f>
        <v>0</v>
      </c>
      <c r="CZ29" s="203" t="str">
        <f>IF(C5="新型コロナウイルス感染症","ー","")</f>
        <v>ー</v>
      </c>
      <c r="DA29" s="166"/>
      <c r="DB29" s="166"/>
    </row>
    <row r="30" spans="1:106" s="2" customFormat="1" ht="15" customHeight="1" x14ac:dyDescent="0.15">
      <c r="A30" s="86" t="str">
        <f t="shared" si="9"/>
        <v/>
      </c>
      <c r="B30" s="232"/>
      <c r="C30" s="233"/>
      <c r="D30" s="232"/>
      <c r="E30" s="233"/>
      <c r="F30" s="257"/>
      <c r="G30" s="258"/>
      <c r="H30" s="259"/>
      <c r="I30" s="102"/>
      <c r="J30" s="160"/>
      <c r="K30" s="102"/>
      <c r="L30" s="92"/>
      <c r="M30" s="104"/>
      <c r="N30" s="104"/>
      <c r="O30" s="217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23"/>
      <c r="BW30" s="116"/>
      <c r="BX30" s="96"/>
      <c r="BY30" s="109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9"/>
      <c r="CK30" s="6" t="b">
        <f t="shared" si="5"/>
        <v>0</v>
      </c>
      <c r="CL30" s="24" t="str">
        <f t="shared" ca="1" si="6"/>
        <v/>
      </c>
      <c r="CM30" s="35">
        <f>IF(COUNTIF($B$15:B30,B30)=1,1,0)</f>
        <v>0</v>
      </c>
      <c r="CN30" s="35">
        <f>SUM($CM$15:CM30)</f>
        <v>1</v>
      </c>
      <c r="CO30" s="24"/>
      <c r="CP30" s="24"/>
      <c r="CQ30" s="9"/>
      <c r="CS30" s="166"/>
      <c r="CT30" s="203" t="str">
        <f>IF($C$5="新型コロナウイルス感染症",IFERROR(IFERROR(INDEX(B:B,MATCH(CQ16,CN:CN,0)),INDEX('入力方法（職員）'!B:B,MATCH(CQ16,'入力方法（職員）'!CL:CL,0))),""),"")</f>
        <v/>
      </c>
      <c r="CU30" s="166" t="str">
        <f t="shared" si="10"/>
        <v/>
      </c>
      <c r="CV30" s="166" t="str">
        <f>IF('入力方法（職員）'!CP28="","",'入力方法（職員）'!CP28)</f>
        <v/>
      </c>
      <c r="CW30" s="166"/>
      <c r="CX30" s="166"/>
      <c r="CY30" s="166"/>
      <c r="CZ30" s="166"/>
      <c r="DA30" s="166"/>
      <c r="DB30" s="166"/>
    </row>
    <row r="31" spans="1:106" s="2" customFormat="1" ht="15" customHeight="1" x14ac:dyDescent="0.15">
      <c r="A31" s="86" t="str">
        <f t="shared" si="9"/>
        <v/>
      </c>
      <c r="B31" s="232"/>
      <c r="C31" s="233"/>
      <c r="D31" s="232"/>
      <c r="E31" s="233"/>
      <c r="F31" s="257"/>
      <c r="G31" s="258"/>
      <c r="H31" s="259"/>
      <c r="I31" s="102"/>
      <c r="J31" s="160"/>
      <c r="K31" s="102"/>
      <c r="L31" s="117"/>
      <c r="M31" s="100"/>
      <c r="N31" s="100"/>
      <c r="O31" s="217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23"/>
      <c r="BW31" s="116"/>
      <c r="BX31" s="96"/>
      <c r="BY31" s="113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5"/>
      <c r="CK31" s="6" t="b">
        <f t="shared" si="5"/>
        <v>0</v>
      </c>
      <c r="CL31" s="24" t="str">
        <f t="shared" ca="1" si="6"/>
        <v/>
      </c>
      <c r="CM31" s="35">
        <f>IF(COUNTIF($B$15:B31,B31)=1,1,0)</f>
        <v>0</v>
      </c>
      <c r="CN31" s="35">
        <f>SUM($CM$15:CM31)</f>
        <v>1</v>
      </c>
      <c r="CO31" s="24"/>
      <c r="CP31" s="24"/>
      <c r="CQ31" s="9"/>
      <c r="CS31" s="166"/>
      <c r="CT31" s="203" t="str">
        <f>IF($C$5="新型コロナウイルス感染症",IFERROR(IFERROR(INDEX(B:B,MATCH(CQ17,CN:CN,0)),INDEX('入力方法（職員）'!B:B,MATCH(CQ17,'入力方法（職員）'!CL:CL,0))),""),"")</f>
        <v/>
      </c>
      <c r="CU31" s="166" t="str">
        <f t="shared" si="10"/>
        <v/>
      </c>
      <c r="CV31" s="166" t="str">
        <f>IF('入力方法（職員）'!CP29="","",'入力方法（職員）'!CP29)</f>
        <v/>
      </c>
      <c r="CW31" s="166"/>
      <c r="CX31" s="166"/>
      <c r="CY31" s="166"/>
      <c r="CZ31" s="166"/>
      <c r="DA31" s="166"/>
      <c r="DB31" s="166"/>
    </row>
    <row r="32" spans="1:106" s="2" customFormat="1" ht="15" customHeight="1" x14ac:dyDescent="0.15">
      <c r="A32" s="86" t="str">
        <f t="shared" si="9"/>
        <v/>
      </c>
      <c r="B32" s="232"/>
      <c r="C32" s="233"/>
      <c r="D32" s="232"/>
      <c r="E32" s="233"/>
      <c r="F32" s="257"/>
      <c r="G32" s="258"/>
      <c r="H32" s="259"/>
      <c r="I32" s="102"/>
      <c r="J32" s="160"/>
      <c r="K32" s="102"/>
      <c r="L32" s="117"/>
      <c r="M32" s="100"/>
      <c r="N32" s="100"/>
      <c r="O32" s="217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23"/>
      <c r="BW32" s="121"/>
      <c r="BX32" s="108"/>
      <c r="BY32" s="113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5"/>
      <c r="CK32" s="6" t="b">
        <f t="shared" si="5"/>
        <v>0</v>
      </c>
      <c r="CL32" s="24" t="str">
        <f t="shared" ca="1" si="6"/>
        <v/>
      </c>
      <c r="CM32" s="35">
        <f>IF(COUNTIF($B$15:B32,B32)=1,1,0)</f>
        <v>0</v>
      </c>
      <c r="CN32" s="35">
        <f>SUM($CM$15:CM32)</f>
        <v>1</v>
      </c>
      <c r="CO32" s="24"/>
      <c r="CP32" s="24"/>
      <c r="CS32" s="166"/>
      <c r="CT32" s="203" t="str">
        <f>IF($C$5="新型コロナウイルス感染症",IFERROR(IFERROR(INDEX(B:B,MATCH(CQ18,CN:CN,0)),INDEX('入力方法（職員）'!B:B,MATCH(CQ18,'入力方法（職員）'!CL:CL,0))),""),"")</f>
        <v/>
      </c>
      <c r="CU32" s="166" t="str">
        <f t="shared" si="10"/>
        <v/>
      </c>
      <c r="CV32" s="166" t="str">
        <f>IF('入力方法（職員）'!CP30="","",'入力方法（職員）'!CP30)</f>
        <v/>
      </c>
      <c r="CW32" s="166"/>
      <c r="CX32" s="166"/>
      <c r="CY32" s="166"/>
      <c r="CZ32" s="166"/>
      <c r="DA32" s="166"/>
      <c r="DB32" s="166"/>
    </row>
    <row r="33" spans="1:106" ht="15" customHeight="1" x14ac:dyDescent="0.15">
      <c r="A33" s="86" t="str">
        <f t="shared" si="9"/>
        <v/>
      </c>
      <c r="B33" s="232"/>
      <c r="C33" s="233"/>
      <c r="D33" s="232"/>
      <c r="E33" s="233"/>
      <c r="F33" s="257"/>
      <c r="G33" s="258"/>
      <c r="H33" s="259"/>
      <c r="I33" s="102"/>
      <c r="J33" s="160"/>
      <c r="K33" s="102"/>
      <c r="L33" s="117"/>
      <c r="M33" s="100"/>
      <c r="N33" s="100"/>
      <c r="O33" s="217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23"/>
      <c r="BW33" s="121"/>
      <c r="BX33" s="96"/>
      <c r="BY33" s="97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9"/>
      <c r="CK33" s="6" t="b">
        <f t="shared" si="5"/>
        <v>0</v>
      </c>
      <c r="CL33" s="24" t="str">
        <f t="shared" ca="1" si="6"/>
        <v/>
      </c>
      <c r="CM33" s="35">
        <f>IF(COUNTIF($B$15:B33,B33)=1,1,0)</f>
        <v>0</v>
      </c>
      <c r="CN33" s="35">
        <f>SUM($CM$15:CM33)</f>
        <v>1</v>
      </c>
      <c r="CO33" s="24"/>
      <c r="CP33" s="24"/>
      <c r="CQ33" s="5"/>
      <c r="CT33" s="203" t="str">
        <f>IF($C$5="新型コロナウイルス感染症",IFERROR(IFERROR(INDEX(B:B,MATCH(CQ19,CN:CN,0)),INDEX('入力方法（職員）'!B:B,MATCH(CQ19,'入力方法（職員）'!CL:CL,0))),""),"")</f>
        <v/>
      </c>
      <c r="CU33" s="166" t="str">
        <f t="shared" si="10"/>
        <v/>
      </c>
      <c r="CV33" s="166" t="str">
        <f>IF('入力方法（職員）'!CP31="","",'入力方法（職員）'!CP31)</f>
        <v/>
      </c>
    </row>
    <row r="34" spans="1:106" s="2" customFormat="1" ht="15" customHeight="1" x14ac:dyDescent="0.15">
      <c r="A34" s="86" t="str">
        <f t="shared" si="9"/>
        <v/>
      </c>
      <c r="B34" s="232"/>
      <c r="C34" s="233"/>
      <c r="D34" s="232"/>
      <c r="E34" s="233"/>
      <c r="F34" s="257"/>
      <c r="G34" s="258"/>
      <c r="H34" s="259"/>
      <c r="I34" s="102"/>
      <c r="J34" s="160"/>
      <c r="K34" s="102"/>
      <c r="L34" s="117"/>
      <c r="M34" s="100"/>
      <c r="N34" s="100"/>
      <c r="O34" s="217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23"/>
      <c r="BW34" s="121"/>
      <c r="BX34" s="96"/>
      <c r="BY34" s="97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9"/>
      <c r="CK34" s="6" t="b">
        <f t="shared" si="5"/>
        <v>0</v>
      </c>
      <c r="CL34" s="24" t="str">
        <f t="shared" ca="1" si="6"/>
        <v/>
      </c>
      <c r="CM34" s="35">
        <f>IF(COUNTIF($B$15:B34,B34)=1,1,0)</f>
        <v>0</v>
      </c>
      <c r="CN34" s="35">
        <f>SUM($CM$15:CM34)</f>
        <v>1</v>
      </c>
      <c r="CO34" s="24"/>
      <c r="CP34" s="24"/>
      <c r="CS34" s="166"/>
      <c r="CT34" s="203" t="str">
        <f>IF($C$5="新型コロナウイルス感染症",IFERROR(IFERROR(INDEX(B:B,MATCH(CQ20,CN:CN,0)),INDEX('入力方法（職員）'!B:B,MATCH(CQ20,'入力方法（職員）'!CL:CL,0))),""),"")</f>
        <v/>
      </c>
      <c r="CU34" s="166" t="str">
        <f t="shared" si="10"/>
        <v/>
      </c>
      <c r="CV34" s="166" t="str">
        <f>IF('入力方法（職員）'!CP32="","",'入力方法（職員）'!CP32)</f>
        <v/>
      </c>
      <c r="CW34" s="166"/>
      <c r="CX34" s="166"/>
      <c r="CY34" s="166"/>
      <c r="CZ34" s="166"/>
      <c r="DA34" s="166"/>
      <c r="DB34" s="166"/>
    </row>
    <row r="35" spans="1:106" s="2" customFormat="1" ht="15" customHeight="1" x14ac:dyDescent="0.15">
      <c r="A35" s="86" t="str">
        <f t="shared" si="9"/>
        <v/>
      </c>
      <c r="B35" s="232"/>
      <c r="C35" s="233"/>
      <c r="D35" s="232"/>
      <c r="E35" s="233"/>
      <c r="F35" s="257"/>
      <c r="G35" s="258"/>
      <c r="H35" s="259"/>
      <c r="I35" s="102"/>
      <c r="J35" s="160"/>
      <c r="K35" s="102"/>
      <c r="L35" s="117"/>
      <c r="M35" s="100"/>
      <c r="N35" s="100"/>
      <c r="O35" s="217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23"/>
      <c r="BW35" s="121"/>
      <c r="BX35" s="96"/>
      <c r="BY35" s="97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9"/>
      <c r="CK35" s="6" t="b">
        <f t="shared" si="5"/>
        <v>0</v>
      </c>
      <c r="CL35" s="24" t="str">
        <f t="shared" ca="1" si="6"/>
        <v/>
      </c>
      <c r="CM35" s="35">
        <f>IF(COUNTIF($B$15:B35,B35)=1,1,0)</f>
        <v>0</v>
      </c>
      <c r="CN35" s="35">
        <f>SUM($CM$15:CM35)</f>
        <v>1</v>
      </c>
      <c r="CO35" s="24"/>
      <c r="CP35" s="24"/>
      <c r="CS35" s="166"/>
      <c r="CT35" s="203" t="str">
        <f>IF($C$5="新型コロナウイルス感染症",IFERROR(IFERROR(INDEX(B:B,MATCH(CQ21,CN:CN,0)),INDEX('入力方法（職員）'!B:B,MATCH(CQ21,'入力方法（職員）'!CL:CL,0))),""),"")</f>
        <v/>
      </c>
      <c r="CU35" s="166" t="str">
        <f t="shared" si="10"/>
        <v/>
      </c>
      <c r="CV35" s="166" t="str">
        <f>IF('入力方法（職員）'!CP33="","",'入力方法（職員）'!CP33)</f>
        <v/>
      </c>
      <c r="CW35" s="166"/>
      <c r="CX35" s="166"/>
      <c r="CY35" s="166"/>
      <c r="CZ35" s="166"/>
      <c r="DA35" s="166"/>
      <c r="DB35" s="166"/>
    </row>
    <row r="36" spans="1:106" s="2" customFormat="1" ht="15" customHeight="1" x14ac:dyDescent="0.15">
      <c r="A36" s="86" t="str">
        <f t="shared" si="9"/>
        <v/>
      </c>
      <c r="B36" s="232"/>
      <c r="C36" s="233"/>
      <c r="D36" s="232"/>
      <c r="E36" s="233"/>
      <c r="F36" s="257"/>
      <c r="G36" s="258"/>
      <c r="H36" s="259"/>
      <c r="I36" s="102"/>
      <c r="J36" s="160"/>
      <c r="K36" s="102"/>
      <c r="L36" s="117"/>
      <c r="M36" s="100"/>
      <c r="N36" s="100"/>
      <c r="O36" s="217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23"/>
      <c r="BW36" s="121"/>
      <c r="BX36" s="96"/>
      <c r="BY36" s="97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9"/>
      <c r="CK36" s="6" t="b">
        <f t="shared" si="5"/>
        <v>0</v>
      </c>
      <c r="CL36" s="24" t="str">
        <f t="shared" ca="1" si="6"/>
        <v/>
      </c>
      <c r="CM36" s="35">
        <f>IF(COUNTIF($B$15:B36,B36)=1,1,0)</f>
        <v>0</v>
      </c>
      <c r="CN36" s="35">
        <f>SUM($CM$15:CM36)</f>
        <v>1</v>
      </c>
      <c r="CO36" s="24"/>
      <c r="CP36" s="24"/>
      <c r="CS36" s="166"/>
      <c r="CT36" s="203" t="str">
        <f>IF($C$5="新型コロナウイルス感染症",IFERROR(IFERROR(INDEX(B:B,MATCH(CQ22,CN:CN,0)),INDEX('入力方法（職員）'!B:B,MATCH(CQ22,'入力方法（職員）'!CL:CL,0))),""),"")</f>
        <v/>
      </c>
      <c r="CU36" s="166" t="str">
        <f t="shared" si="10"/>
        <v/>
      </c>
      <c r="CV36" s="166" t="str">
        <f>IF('入力方法（職員）'!CP34="","",'入力方法（職員）'!CP34)</f>
        <v/>
      </c>
      <c r="CW36" s="166"/>
      <c r="CX36" s="166"/>
      <c r="CY36" s="166"/>
      <c r="CZ36" s="166"/>
      <c r="DA36" s="166"/>
      <c r="DB36" s="166"/>
    </row>
    <row r="37" spans="1:106" ht="15" customHeight="1" x14ac:dyDescent="0.15">
      <c r="A37" s="86" t="str">
        <f t="shared" si="9"/>
        <v/>
      </c>
      <c r="B37" s="232"/>
      <c r="C37" s="233"/>
      <c r="D37" s="232"/>
      <c r="E37" s="233"/>
      <c r="F37" s="257"/>
      <c r="G37" s="258"/>
      <c r="H37" s="259"/>
      <c r="I37" s="102"/>
      <c r="J37" s="160"/>
      <c r="K37" s="102"/>
      <c r="L37" s="117"/>
      <c r="M37" s="100"/>
      <c r="N37" s="100"/>
      <c r="O37" s="217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23"/>
      <c r="BW37" s="121"/>
      <c r="BX37" s="96"/>
      <c r="BY37" s="97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9"/>
      <c r="CK37" s="6" t="b">
        <f t="shared" si="5"/>
        <v>0</v>
      </c>
      <c r="CL37" s="24" t="str">
        <f t="shared" ca="1" si="6"/>
        <v/>
      </c>
      <c r="CM37" s="35">
        <f>IF(COUNTIF($B$15:B37,B37)=1,1,0)</f>
        <v>0</v>
      </c>
      <c r="CN37" s="35">
        <f>SUM($CM$15:CM37)</f>
        <v>1</v>
      </c>
      <c r="CO37" s="24"/>
      <c r="CP37" s="24"/>
      <c r="CQ37" s="5"/>
      <c r="CT37" s="203" t="str">
        <f>IF($C$5="新型コロナウイルス感染症",IFERROR(IFERROR(INDEX(B:B,MATCH(CQ23,CN:CN,0)),INDEX('入力方法（職員）'!B:B,MATCH(CQ23,'入力方法（職員）'!CL:CL,0))),""),"")</f>
        <v/>
      </c>
      <c r="CU37" s="166" t="str">
        <f t="shared" si="10"/>
        <v/>
      </c>
      <c r="CV37" s="166" t="str">
        <f>IF('入力方法（職員）'!CP35="","",'入力方法（職員）'!CP35)</f>
        <v/>
      </c>
    </row>
    <row r="38" spans="1:106" ht="15" customHeight="1" x14ac:dyDescent="0.15">
      <c r="A38" s="86" t="str">
        <f t="shared" si="9"/>
        <v/>
      </c>
      <c r="B38" s="232"/>
      <c r="C38" s="233"/>
      <c r="D38" s="232"/>
      <c r="E38" s="233"/>
      <c r="F38" s="257"/>
      <c r="G38" s="258"/>
      <c r="H38" s="259"/>
      <c r="I38" s="102"/>
      <c r="J38" s="160"/>
      <c r="K38" s="102"/>
      <c r="L38" s="117"/>
      <c r="M38" s="100"/>
      <c r="N38" s="100"/>
      <c r="O38" s="217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23"/>
      <c r="BW38" s="121"/>
      <c r="BX38" s="96"/>
      <c r="BY38" s="97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9"/>
      <c r="CK38" s="6" t="b">
        <f t="shared" si="5"/>
        <v>0</v>
      </c>
      <c r="CL38" s="24" t="str">
        <f t="shared" ca="1" si="6"/>
        <v/>
      </c>
      <c r="CM38" s="35">
        <f>IF(COUNTIF($B$15:B38,B38)=1,1,0)</f>
        <v>0</v>
      </c>
      <c r="CN38" s="35">
        <f>SUM($CM$15:CM38)</f>
        <v>1</v>
      </c>
      <c r="CO38" s="24"/>
      <c r="CP38" s="24"/>
      <c r="CQ38" s="5"/>
      <c r="CT38" s="203" t="str">
        <f>IF($C$5="新型コロナウイルス感染症",IFERROR(IFERROR(INDEX(B:B,MATCH(CQ24,CN:CN,0)),INDEX('入力方法（職員）'!B:B,MATCH(CQ24,'入力方法（職員）'!CL:CL,0))),""),"")</f>
        <v/>
      </c>
      <c r="CU38" s="166" t="str">
        <f t="shared" si="10"/>
        <v/>
      </c>
      <c r="CV38" s="166" t="str">
        <f>IF('入力方法（職員）'!CP36="","",'入力方法（職員）'!CP36)</f>
        <v/>
      </c>
    </row>
    <row r="39" spans="1:106" ht="15" customHeight="1" x14ac:dyDescent="0.15">
      <c r="A39" s="86" t="str">
        <f t="shared" si="9"/>
        <v/>
      </c>
      <c r="B39" s="232"/>
      <c r="C39" s="233"/>
      <c r="D39" s="232"/>
      <c r="E39" s="233"/>
      <c r="F39" s="257"/>
      <c r="G39" s="258"/>
      <c r="H39" s="259"/>
      <c r="I39" s="100"/>
      <c r="J39" s="110"/>
      <c r="K39" s="102"/>
      <c r="L39" s="117"/>
      <c r="M39" s="100"/>
      <c r="N39" s="100"/>
      <c r="O39" s="217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23"/>
      <c r="BW39" s="122"/>
      <c r="BX39" s="123"/>
      <c r="BY39" s="124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6"/>
      <c r="CK39" s="6" t="b">
        <f t="shared" si="5"/>
        <v>0</v>
      </c>
      <c r="CL39" s="24" t="str">
        <f t="shared" ca="1" si="6"/>
        <v/>
      </c>
      <c r="CM39" s="35">
        <f>IF(COUNTIF($B$15:B39,B39)=1,1,0)</f>
        <v>0</v>
      </c>
      <c r="CN39" s="35">
        <f>SUM($CM$15:CM39)</f>
        <v>1</v>
      </c>
      <c r="CO39" s="24"/>
      <c r="CP39" s="24"/>
      <c r="CQ39" s="5"/>
      <c r="CT39" s="203" t="str">
        <f>IF(C5="新型コロナウイルス感染症","計","")</f>
        <v>計</v>
      </c>
      <c r="CU39" s="166">
        <f>IF(C5="新型コロナウイルス感染症",SUM(CU29:CU38),"")</f>
        <v>5</v>
      </c>
      <c r="CV39" s="166">
        <f>IF(C5="新型コロナウイルス感染症",SUM(CV29:CV38),"")</f>
        <v>5</v>
      </c>
    </row>
    <row r="40" spans="1:106" s="2" customFormat="1" ht="15" customHeight="1" x14ac:dyDescent="0.15">
      <c r="A40" s="86" t="str">
        <f t="shared" si="9"/>
        <v/>
      </c>
      <c r="B40" s="232"/>
      <c r="C40" s="233"/>
      <c r="D40" s="232"/>
      <c r="E40" s="233"/>
      <c r="F40" s="257"/>
      <c r="G40" s="258"/>
      <c r="H40" s="259"/>
      <c r="I40" s="102"/>
      <c r="J40" s="102"/>
      <c r="K40" s="102"/>
      <c r="L40" s="117"/>
      <c r="M40" s="100"/>
      <c r="N40" s="100"/>
      <c r="O40" s="217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23"/>
      <c r="BW40" s="121"/>
      <c r="BX40" s="108"/>
      <c r="BY40" s="113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5"/>
      <c r="CK40" s="6" t="b">
        <f t="shared" si="5"/>
        <v>0</v>
      </c>
      <c r="CL40" s="24" t="str">
        <f t="shared" ca="1" si="6"/>
        <v/>
      </c>
      <c r="CM40" s="35">
        <f>IF(COUNTIF($B$15:B40,B40)=1,1,0)</f>
        <v>0</v>
      </c>
      <c r="CN40" s="35">
        <f>SUM($CM$15:CM40)</f>
        <v>1</v>
      </c>
      <c r="CO40" s="24"/>
      <c r="CP40" s="24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</row>
    <row r="41" spans="1:106" s="2" customFormat="1" ht="15" customHeight="1" x14ac:dyDescent="0.15">
      <c r="A41" s="86" t="str">
        <f t="shared" si="9"/>
        <v/>
      </c>
      <c r="B41" s="232"/>
      <c r="C41" s="233"/>
      <c r="D41" s="232"/>
      <c r="E41" s="233"/>
      <c r="F41" s="257"/>
      <c r="G41" s="258"/>
      <c r="H41" s="259"/>
      <c r="I41" s="100"/>
      <c r="J41" s="100"/>
      <c r="K41" s="102"/>
      <c r="L41" s="117"/>
      <c r="M41" s="100"/>
      <c r="N41" s="100"/>
      <c r="O41" s="217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23"/>
      <c r="BW41" s="122"/>
      <c r="BX41" s="123"/>
      <c r="BY41" s="113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5"/>
      <c r="CK41" s="6" t="b">
        <f t="shared" si="5"/>
        <v>0</v>
      </c>
      <c r="CL41" s="24" t="str">
        <f t="shared" ca="1" si="6"/>
        <v/>
      </c>
      <c r="CM41" s="35">
        <f>IF(COUNTIF($B$15:B41,B41)=1,1,0)</f>
        <v>0</v>
      </c>
      <c r="CN41" s="35">
        <f>SUM($CM$15:CM41)</f>
        <v>1</v>
      </c>
      <c r="CO41" s="24"/>
      <c r="CP41" s="24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</row>
    <row r="42" spans="1:106" s="2" customFormat="1" ht="15" customHeight="1" x14ac:dyDescent="0.15">
      <c r="A42" s="86" t="str">
        <f t="shared" si="9"/>
        <v/>
      </c>
      <c r="B42" s="232"/>
      <c r="C42" s="233"/>
      <c r="D42" s="232"/>
      <c r="E42" s="233"/>
      <c r="F42" s="257"/>
      <c r="G42" s="258"/>
      <c r="H42" s="259"/>
      <c r="I42" s="100"/>
      <c r="J42" s="100"/>
      <c r="K42" s="102"/>
      <c r="L42" s="117"/>
      <c r="M42" s="100"/>
      <c r="N42" s="100"/>
      <c r="O42" s="217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23"/>
      <c r="BW42" s="122"/>
      <c r="BX42" s="123"/>
      <c r="BY42" s="113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5"/>
      <c r="CK42" s="6" t="b">
        <f t="shared" si="5"/>
        <v>0</v>
      </c>
      <c r="CL42" s="24" t="str">
        <f t="shared" ca="1" si="6"/>
        <v/>
      </c>
      <c r="CM42" s="35">
        <f>IF(COUNTIF($B$15:B42,B42)=1,1,0)</f>
        <v>0</v>
      </c>
      <c r="CN42" s="35">
        <f>SUM($CM$15:CM42)</f>
        <v>1</v>
      </c>
      <c r="CO42" s="24"/>
      <c r="CP42" s="24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</row>
    <row r="43" spans="1:106" s="2" customFormat="1" ht="15" customHeight="1" x14ac:dyDescent="0.15">
      <c r="A43" s="86" t="str">
        <f t="shared" si="9"/>
        <v/>
      </c>
      <c r="B43" s="232"/>
      <c r="C43" s="233"/>
      <c r="D43" s="232"/>
      <c r="E43" s="233"/>
      <c r="F43" s="257"/>
      <c r="G43" s="258"/>
      <c r="H43" s="259"/>
      <c r="I43" s="100"/>
      <c r="J43" s="100"/>
      <c r="K43" s="102"/>
      <c r="L43" s="117"/>
      <c r="M43" s="100"/>
      <c r="N43" s="100"/>
      <c r="O43" s="217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23"/>
      <c r="BW43" s="122"/>
      <c r="BX43" s="123"/>
      <c r="BY43" s="113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5"/>
      <c r="CK43" s="6" t="b">
        <f t="shared" si="5"/>
        <v>0</v>
      </c>
      <c r="CL43" s="24" t="str">
        <f t="shared" ca="1" si="6"/>
        <v/>
      </c>
      <c r="CM43" s="35">
        <f>IF(COUNTIF($B$15:B43,B43)=1,1,0)</f>
        <v>0</v>
      </c>
      <c r="CN43" s="35">
        <f>SUM($CM$15:CM43)</f>
        <v>1</v>
      </c>
      <c r="CO43" s="24"/>
      <c r="CP43" s="24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</row>
    <row r="44" spans="1:106" s="2" customFormat="1" ht="15" customHeight="1" x14ac:dyDescent="0.15">
      <c r="A44" s="86" t="str">
        <f t="shared" si="9"/>
        <v/>
      </c>
      <c r="B44" s="232"/>
      <c r="C44" s="233"/>
      <c r="D44" s="232"/>
      <c r="E44" s="233"/>
      <c r="F44" s="257"/>
      <c r="G44" s="258"/>
      <c r="H44" s="259"/>
      <c r="I44" s="100"/>
      <c r="J44" s="100"/>
      <c r="K44" s="102"/>
      <c r="L44" s="117"/>
      <c r="M44" s="100"/>
      <c r="N44" s="100"/>
      <c r="O44" s="217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23"/>
      <c r="BW44" s="122"/>
      <c r="BX44" s="123"/>
      <c r="BY44" s="113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5"/>
      <c r="CK44" s="6" t="b">
        <f t="shared" si="5"/>
        <v>0</v>
      </c>
      <c r="CL44" s="24" t="str">
        <f t="shared" ca="1" si="6"/>
        <v/>
      </c>
      <c r="CM44" s="35">
        <f>IF(COUNTIF($B$15:B44,B44)=1,1,0)</f>
        <v>0</v>
      </c>
      <c r="CN44" s="35">
        <f>SUM($CM$15:CM44)</f>
        <v>1</v>
      </c>
      <c r="CO44" s="24"/>
      <c r="CP44" s="24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</row>
    <row r="45" spans="1:106" s="2" customFormat="1" ht="15" customHeight="1" x14ac:dyDescent="0.15">
      <c r="A45" s="86" t="str">
        <f t="shared" si="9"/>
        <v/>
      </c>
      <c r="B45" s="232"/>
      <c r="C45" s="233"/>
      <c r="D45" s="232"/>
      <c r="E45" s="233"/>
      <c r="F45" s="257"/>
      <c r="G45" s="258"/>
      <c r="H45" s="259"/>
      <c r="I45" s="100"/>
      <c r="J45" s="100"/>
      <c r="K45" s="102"/>
      <c r="L45" s="117"/>
      <c r="M45" s="100"/>
      <c r="N45" s="100"/>
      <c r="O45" s="217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23"/>
      <c r="BW45" s="122"/>
      <c r="BX45" s="123"/>
      <c r="BY45" s="113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5"/>
      <c r="CK45" s="6" t="b">
        <f t="shared" si="5"/>
        <v>0</v>
      </c>
      <c r="CL45" s="24" t="str">
        <f t="shared" ca="1" si="6"/>
        <v/>
      </c>
      <c r="CM45" s="35">
        <f>IF(COUNTIF($B$15:B45,B45)=1,1,0)</f>
        <v>0</v>
      </c>
      <c r="CN45" s="35">
        <f>SUM($CM$15:CM45)</f>
        <v>1</v>
      </c>
      <c r="CO45" s="24"/>
      <c r="CP45" s="24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</row>
    <row r="46" spans="1:106" s="2" customFormat="1" ht="15" customHeight="1" x14ac:dyDescent="0.15">
      <c r="A46" s="86" t="str">
        <f t="shared" si="9"/>
        <v/>
      </c>
      <c r="B46" s="232"/>
      <c r="C46" s="233"/>
      <c r="D46" s="232"/>
      <c r="E46" s="233"/>
      <c r="F46" s="257"/>
      <c r="G46" s="258"/>
      <c r="H46" s="259"/>
      <c r="I46" s="100"/>
      <c r="J46" s="100"/>
      <c r="K46" s="102"/>
      <c r="L46" s="117"/>
      <c r="M46" s="100"/>
      <c r="N46" s="100"/>
      <c r="O46" s="217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23"/>
      <c r="BW46" s="122"/>
      <c r="BX46" s="123"/>
      <c r="BY46" s="113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5"/>
      <c r="CK46" s="6" t="b">
        <f t="shared" si="5"/>
        <v>0</v>
      </c>
      <c r="CL46" s="24" t="str">
        <f t="shared" ca="1" si="6"/>
        <v/>
      </c>
      <c r="CM46" s="35">
        <f>IF(COUNTIF($B$15:B46,B46)=1,1,0)</f>
        <v>0</v>
      </c>
      <c r="CN46" s="35">
        <f>SUM($CM$15:CM46)</f>
        <v>1</v>
      </c>
      <c r="CO46" s="24"/>
      <c r="CP46" s="24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</row>
    <row r="47" spans="1:106" s="2" customFormat="1" ht="15" customHeight="1" x14ac:dyDescent="0.15">
      <c r="A47" s="86" t="str">
        <f t="shared" si="9"/>
        <v/>
      </c>
      <c r="B47" s="232"/>
      <c r="C47" s="233"/>
      <c r="D47" s="232"/>
      <c r="E47" s="233"/>
      <c r="F47" s="257"/>
      <c r="G47" s="258"/>
      <c r="H47" s="259"/>
      <c r="I47" s="100"/>
      <c r="J47" s="100"/>
      <c r="K47" s="102"/>
      <c r="L47" s="117"/>
      <c r="M47" s="100"/>
      <c r="N47" s="100"/>
      <c r="O47" s="217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23"/>
      <c r="BW47" s="122"/>
      <c r="BX47" s="123"/>
      <c r="BY47" s="113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5"/>
      <c r="CK47" s="6" t="b">
        <f t="shared" ref="CK47:CK79" si="11">COUNTIF(O47:BV47,"○")&gt;0</f>
        <v>0</v>
      </c>
      <c r="CL47" s="24" t="str">
        <f t="shared" ref="CL47:CL78" ca="1" si="12">IFERROR(OFFSET($O$11,0,MATCH("○",O47:BV47,0)-1,1,1),"")</f>
        <v/>
      </c>
      <c r="CM47" s="35">
        <f>IF(COUNTIF($B$15:B47,B47)=1,1,0)</f>
        <v>0</v>
      </c>
      <c r="CN47" s="35">
        <f>SUM($CM$15:CM47)</f>
        <v>1</v>
      </c>
      <c r="CO47" s="24"/>
      <c r="CP47" s="24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</row>
    <row r="48" spans="1:106" s="2" customFormat="1" ht="15" customHeight="1" x14ac:dyDescent="0.15">
      <c r="A48" s="86" t="str">
        <f t="shared" si="9"/>
        <v/>
      </c>
      <c r="B48" s="232"/>
      <c r="C48" s="233"/>
      <c r="D48" s="232"/>
      <c r="E48" s="233"/>
      <c r="F48" s="257"/>
      <c r="G48" s="258"/>
      <c r="H48" s="259"/>
      <c r="I48" s="100"/>
      <c r="J48" s="100"/>
      <c r="K48" s="102"/>
      <c r="L48" s="117"/>
      <c r="M48" s="100"/>
      <c r="N48" s="100"/>
      <c r="O48" s="217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23"/>
      <c r="BW48" s="122"/>
      <c r="BX48" s="123"/>
      <c r="BY48" s="113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5"/>
      <c r="CK48" s="6" t="b">
        <f t="shared" si="11"/>
        <v>0</v>
      </c>
      <c r="CL48" s="24" t="str">
        <f t="shared" ca="1" si="12"/>
        <v/>
      </c>
      <c r="CM48" s="35">
        <f>IF(COUNTIF($B$15:B48,B48)=1,1,0)</f>
        <v>0</v>
      </c>
      <c r="CN48" s="35">
        <f>SUM($CM$15:CM48)</f>
        <v>1</v>
      </c>
      <c r="CO48" s="24"/>
      <c r="CP48" s="24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</row>
    <row r="49" spans="1:106" s="2" customFormat="1" ht="15" customHeight="1" x14ac:dyDescent="0.15">
      <c r="A49" s="86" t="str">
        <f t="shared" si="9"/>
        <v/>
      </c>
      <c r="B49" s="232"/>
      <c r="C49" s="233"/>
      <c r="D49" s="232"/>
      <c r="E49" s="233"/>
      <c r="F49" s="257"/>
      <c r="G49" s="258"/>
      <c r="H49" s="259"/>
      <c r="I49" s="100"/>
      <c r="J49" s="100"/>
      <c r="K49" s="102"/>
      <c r="L49" s="117"/>
      <c r="M49" s="100"/>
      <c r="N49" s="100"/>
      <c r="O49" s="217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23"/>
      <c r="BW49" s="122"/>
      <c r="BX49" s="123"/>
      <c r="BY49" s="113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5"/>
      <c r="CK49" s="6" t="b">
        <f t="shared" si="11"/>
        <v>0</v>
      </c>
      <c r="CL49" s="24" t="str">
        <f t="shared" ca="1" si="12"/>
        <v/>
      </c>
      <c r="CM49" s="35">
        <f>IF(COUNTIF($B$15:B49,B49)=1,1,0)</f>
        <v>0</v>
      </c>
      <c r="CN49" s="35">
        <f>SUM($CM$15:CM49)</f>
        <v>1</v>
      </c>
      <c r="CO49" s="24"/>
      <c r="CP49" s="24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</row>
    <row r="50" spans="1:106" s="2" customFormat="1" ht="15" customHeight="1" x14ac:dyDescent="0.15">
      <c r="A50" s="86" t="str">
        <f t="shared" si="9"/>
        <v/>
      </c>
      <c r="B50" s="232"/>
      <c r="C50" s="233"/>
      <c r="D50" s="232"/>
      <c r="E50" s="233"/>
      <c r="F50" s="257"/>
      <c r="G50" s="258"/>
      <c r="H50" s="259"/>
      <c r="I50" s="100"/>
      <c r="J50" s="100"/>
      <c r="K50" s="102"/>
      <c r="L50" s="117"/>
      <c r="M50" s="100"/>
      <c r="N50" s="100"/>
      <c r="O50" s="217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23"/>
      <c r="BW50" s="122"/>
      <c r="BX50" s="123"/>
      <c r="BY50" s="113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5"/>
      <c r="CK50" s="6" t="b">
        <f t="shared" si="11"/>
        <v>0</v>
      </c>
      <c r="CL50" s="24" t="str">
        <f t="shared" ca="1" si="12"/>
        <v/>
      </c>
      <c r="CM50" s="35">
        <f>IF(COUNTIF($B$15:B50,B50)=1,1,0)</f>
        <v>0</v>
      </c>
      <c r="CN50" s="35">
        <f>SUM($CM$15:CM50)</f>
        <v>1</v>
      </c>
      <c r="CO50" s="24"/>
      <c r="CP50" s="24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</row>
    <row r="51" spans="1:106" s="2" customFormat="1" ht="15" customHeight="1" x14ac:dyDescent="0.15">
      <c r="A51" s="86" t="str">
        <f t="shared" si="9"/>
        <v/>
      </c>
      <c r="B51" s="232"/>
      <c r="C51" s="233"/>
      <c r="D51" s="232"/>
      <c r="E51" s="233"/>
      <c r="F51" s="257"/>
      <c r="G51" s="258"/>
      <c r="H51" s="259"/>
      <c r="I51" s="100"/>
      <c r="J51" s="100"/>
      <c r="K51" s="102"/>
      <c r="L51" s="117"/>
      <c r="M51" s="100"/>
      <c r="N51" s="100"/>
      <c r="O51" s="217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23"/>
      <c r="BW51" s="122"/>
      <c r="BX51" s="123"/>
      <c r="BY51" s="113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5"/>
      <c r="CK51" s="6" t="b">
        <f t="shared" si="11"/>
        <v>0</v>
      </c>
      <c r="CL51" s="24" t="str">
        <f t="shared" ca="1" si="12"/>
        <v/>
      </c>
      <c r="CM51" s="35">
        <f>IF(COUNTIF($B$15:B51,B51)=1,1,0)</f>
        <v>0</v>
      </c>
      <c r="CN51" s="35">
        <f>SUM($CM$15:CM51)</f>
        <v>1</v>
      </c>
      <c r="CO51" s="24"/>
      <c r="CP51" s="24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</row>
    <row r="52" spans="1:106" s="2" customFormat="1" ht="15" customHeight="1" x14ac:dyDescent="0.15">
      <c r="A52" s="86" t="str">
        <f t="shared" si="9"/>
        <v/>
      </c>
      <c r="B52" s="232"/>
      <c r="C52" s="233"/>
      <c r="D52" s="232"/>
      <c r="E52" s="233"/>
      <c r="F52" s="257"/>
      <c r="G52" s="258"/>
      <c r="H52" s="259"/>
      <c r="I52" s="100"/>
      <c r="J52" s="100"/>
      <c r="K52" s="102"/>
      <c r="L52" s="117"/>
      <c r="M52" s="100"/>
      <c r="N52" s="100"/>
      <c r="O52" s="217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23"/>
      <c r="BW52" s="122"/>
      <c r="BX52" s="123"/>
      <c r="BY52" s="113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5"/>
      <c r="CK52" s="6" t="b">
        <f t="shared" si="11"/>
        <v>0</v>
      </c>
      <c r="CL52" s="24" t="str">
        <f t="shared" ca="1" si="12"/>
        <v/>
      </c>
      <c r="CM52" s="35">
        <f>IF(COUNTIF($B$15:B52,B52)=1,1,0)</f>
        <v>0</v>
      </c>
      <c r="CN52" s="35">
        <f>SUM($CM$15:CM52)</f>
        <v>1</v>
      </c>
      <c r="CO52" s="24"/>
      <c r="CP52" s="24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</row>
    <row r="53" spans="1:106" s="2" customFormat="1" ht="15" customHeight="1" x14ac:dyDescent="0.15">
      <c r="A53" s="86" t="str">
        <f t="shared" si="9"/>
        <v/>
      </c>
      <c r="B53" s="232"/>
      <c r="C53" s="233"/>
      <c r="D53" s="232"/>
      <c r="E53" s="233"/>
      <c r="F53" s="257"/>
      <c r="G53" s="258"/>
      <c r="H53" s="259"/>
      <c r="I53" s="102"/>
      <c r="J53" s="127"/>
      <c r="K53" s="102"/>
      <c r="L53" s="117"/>
      <c r="M53" s="100"/>
      <c r="N53" s="100"/>
      <c r="O53" s="217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23"/>
      <c r="BW53" s="129"/>
      <c r="BX53" s="130"/>
      <c r="BY53" s="113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5"/>
      <c r="CK53" s="6" t="b">
        <f t="shared" si="11"/>
        <v>0</v>
      </c>
      <c r="CL53" s="24" t="str">
        <f t="shared" ca="1" si="12"/>
        <v/>
      </c>
      <c r="CM53" s="35">
        <f>IF(COUNTIF($B$15:B53,B53)=1,1,0)</f>
        <v>0</v>
      </c>
      <c r="CN53" s="35">
        <f>SUM($CM$15:CM53)</f>
        <v>1</v>
      </c>
      <c r="CO53" s="24"/>
      <c r="CP53" s="24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</row>
    <row r="54" spans="1:106" s="2" customFormat="1" ht="15" customHeight="1" x14ac:dyDescent="0.15">
      <c r="A54" s="86" t="str">
        <f t="shared" si="9"/>
        <v/>
      </c>
      <c r="B54" s="232"/>
      <c r="C54" s="233"/>
      <c r="D54" s="232"/>
      <c r="E54" s="233"/>
      <c r="F54" s="257"/>
      <c r="G54" s="258"/>
      <c r="H54" s="259"/>
      <c r="I54" s="102"/>
      <c r="J54" s="127"/>
      <c r="K54" s="102"/>
      <c r="L54" s="117"/>
      <c r="M54" s="100"/>
      <c r="N54" s="100"/>
      <c r="O54" s="217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23"/>
      <c r="BW54" s="129"/>
      <c r="BX54" s="130"/>
      <c r="BY54" s="113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5"/>
      <c r="CK54" s="6" t="b">
        <f t="shared" si="11"/>
        <v>0</v>
      </c>
      <c r="CL54" s="24" t="str">
        <f t="shared" ca="1" si="12"/>
        <v/>
      </c>
      <c r="CM54" s="35">
        <f>IF(COUNTIF($B$15:B54,B54)=1,1,0)</f>
        <v>0</v>
      </c>
      <c r="CN54" s="35">
        <f>SUM($CM$15:CM54)</f>
        <v>1</v>
      </c>
      <c r="CO54" s="24"/>
      <c r="CP54" s="24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</row>
    <row r="55" spans="1:106" s="2" customFormat="1" ht="15" customHeight="1" x14ac:dyDescent="0.15">
      <c r="A55" s="86" t="str">
        <f t="shared" si="9"/>
        <v/>
      </c>
      <c r="B55" s="232"/>
      <c r="C55" s="233"/>
      <c r="D55" s="232"/>
      <c r="E55" s="233"/>
      <c r="F55" s="257"/>
      <c r="G55" s="258"/>
      <c r="H55" s="259"/>
      <c r="I55" s="102"/>
      <c r="J55" s="127"/>
      <c r="K55" s="102"/>
      <c r="L55" s="117"/>
      <c r="M55" s="100"/>
      <c r="N55" s="100"/>
      <c r="O55" s="217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23"/>
      <c r="BW55" s="129"/>
      <c r="BX55" s="130"/>
      <c r="BY55" s="113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5"/>
      <c r="CK55" s="6" t="b">
        <f t="shared" si="11"/>
        <v>0</v>
      </c>
      <c r="CL55" s="24" t="str">
        <f t="shared" ca="1" si="12"/>
        <v/>
      </c>
      <c r="CM55" s="35">
        <f>IF(COUNTIF($B$15:B55,B55)=1,1,0)</f>
        <v>0</v>
      </c>
      <c r="CN55" s="35">
        <f>SUM($CM$15:CM55)</f>
        <v>1</v>
      </c>
      <c r="CO55" s="24"/>
      <c r="CP55" s="24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</row>
    <row r="56" spans="1:106" s="2" customFormat="1" ht="15" customHeight="1" x14ac:dyDescent="0.15">
      <c r="A56" s="86" t="str">
        <f t="shared" si="9"/>
        <v/>
      </c>
      <c r="B56" s="232"/>
      <c r="C56" s="233"/>
      <c r="D56" s="232"/>
      <c r="E56" s="233"/>
      <c r="F56" s="257"/>
      <c r="G56" s="258"/>
      <c r="H56" s="259"/>
      <c r="I56" s="102"/>
      <c r="J56" s="127"/>
      <c r="K56" s="102"/>
      <c r="L56" s="117"/>
      <c r="M56" s="100"/>
      <c r="N56" s="100"/>
      <c r="O56" s="217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23"/>
      <c r="BW56" s="129"/>
      <c r="BX56" s="130"/>
      <c r="BY56" s="113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5"/>
      <c r="CK56" s="6" t="b">
        <f t="shared" si="11"/>
        <v>0</v>
      </c>
      <c r="CL56" s="24" t="str">
        <f t="shared" ca="1" si="12"/>
        <v/>
      </c>
      <c r="CM56" s="35">
        <f>IF(COUNTIF($B$15:B56,B56)=1,1,0)</f>
        <v>0</v>
      </c>
      <c r="CN56" s="35">
        <f>SUM($CM$15:CM56)</f>
        <v>1</v>
      </c>
      <c r="CO56" s="24"/>
      <c r="CP56" s="24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</row>
    <row r="57" spans="1:106" s="2" customFormat="1" ht="15" customHeight="1" x14ac:dyDescent="0.15">
      <c r="A57" s="86" t="str">
        <f t="shared" si="9"/>
        <v/>
      </c>
      <c r="B57" s="232"/>
      <c r="C57" s="233"/>
      <c r="D57" s="232"/>
      <c r="E57" s="233"/>
      <c r="F57" s="257"/>
      <c r="G57" s="258"/>
      <c r="H57" s="259"/>
      <c r="I57" s="102"/>
      <c r="J57" s="127"/>
      <c r="K57" s="102"/>
      <c r="L57" s="117"/>
      <c r="M57" s="100"/>
      <c r="N57" s="100"/>
      <c r="O57" s="217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23"/>
      <c r="BW57" s="129"/>
      <c r="BX57" s="130"/>
      <c r="BY57" s="113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5"/>
      <c r="CK57" s="6" t="b">
        <f t="shared" si="11"/>
        <v>0</v>
      </c>
      <c r="CL57" s="24" t="str">
        <f t="shared" ca="1" si="12"/>
        <v/>
      </c>
      <c r="CM57" s="35">
        <f>IF(COUNTIF($B$15:B57,B57)=1,1,0)</f>
        <v>0</v>
      </c>
      <c r="CN57" s="35">
        <f>SUM($CM$15:CM57)</f>
        <v>1</v>
      </c>
      <c r="CO57" s="24"/>
      <c r="CP57" s="24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</row>
    <row r="58" spans="1:106" s="2" customFormat="1" ht="15" customHeight="1" x14ac:dyDescent="0.15">
      <c r="A58" s="86" t="str">
        <f t="shared" si="9"/>
        <v/>
      </c>
      <c r="B58" s="232"/>
      <c r="C58" s="233"/>
      <c r="D58" s="232"/>
      <c r="E58" s="233"/>
      <c r="F58" s="257"/>
      <c r="G58" s="258"/>
      <c r="H58" s="259"/>
      <c r="I58" s="102"/>
      <c r="J58" s="127"/>
      <c r="K58" s="102"/>
      <c r="L58" s="117"/>
      <c r="M58" s="100"/>
      <c r="N58" s="100"/>
      <c r="O58" s="217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23"/>
      <c r="BW58" s="129"/>
      <c r="BX58" s="130"/>
      <c r="BY58" s="113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5"/>
      <c r="CK58" s="6" t="b">
        <f t="shared" si="11"/>
        <v>0</v>
      </c>
      <c r="CL58" s="24" t="str">
        <f t="shared" ca="1" si="12"/>
        <v/>
      </c>
      <c r="CM58" s="35">
        <f>IF(COUNTIF($B$15:B58,B58)=1,1,0)</f>
        <v>0</v>
      </c>
      <c r="CN58" s="35">
        <f>SUM($CM$15:CM58)</f>
        <v>1</v>
      </c>
      <c r="CO58" s="24"/>
      <c r="CP58" s="24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</row>
    <row r="59" spans="1:106" s="2" customFormat="1" ht="15" customHeight="1" x14ac:dyDescent="0.15">
      <c r="A59" s="86" t="str">
        <f t="shared" si="9"/>
        <v/>
      </c>
      <c r="B59" s="232"/>
      <c r="C59" s="233"/>
      <c r="D59" s="232"/>
      <c r="E59" s="233"/>
      <c r="F59" s="257"/>
      <c r="G59" s="258"/>
      <c r="H59" s="259"/>
      <c r="I59" s="102"/>
      <c r="J59" s="127"/>
      <c r="K59" s="102"/>
      <c r="L59" s="117"/>
      <c r="M59" s="100"/>
      <c r="N59" s="100"/>
      <c r="O59" s="217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23"/>
      <c r="BW59" s="129"/>
      <c r="BX59" s="130"/>
      <c r="BY59" s="113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5"/>
      <c r="CK59" s="6" t="b">
        <f t="shared" si="11"/>
        <v>0</v>
      </c>
      <c r="CL59" s="24" t="str">
        <f t="shared" ca="1" si="12"/>
        <v/>
      </c>
      <c r="CM59" s="35">
        <f>IF(COUNTIF($B$15:B59,B59)=1,1,0)</f>
        <v>0</v>
      </c>
      <c r="CN59" s="35">
        <f>SUM($CM$15:CM59)</f>
        <v>1</v>
      </c>
      <c r="CO59" s="24"/>
      <c r="CP59" s="24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</row>
    <row r="60" spans="1:106" s="2" customFormat="1" ht="15" customHeight="1" x14ac:dyDescent="0.15">
      <c r="A60" s="86" t="str">
        <f t="shared" si="9"/>
        <v/>
      </c>
      <c r="B60" s="232"/>
      <c r="C60" s="233"/>
      <c r="D60" s="232"/>
      <c r="E60" s="233"/>
      <c r="F60" s="257"/>
      <c r="G60" s="258"/>
      <c r="H60" s="259"/>
      <c r="I60" s="102"/>
      <c r="J60" s="127"/>
      <c r="K60" s="102"/>
      <c r="L60" s="117"/>
      <c r="M60" s="100"/>
      <c r="N60" s="100"/>
      <c r="O60" s="217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23"/>
      <c r="BW60" s="129"/>
      <c r="BX60" s="130"/>
      <c r="BY60" s="113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5"/>
      <c r="CK60" s="6" t="b">
        <f t="shared" si="11"/>
        <v>0</v>
      </c>
      <c r="CL60" s="24" t="str">
        <f t="shared" ca="1" si="12"/>
        <v/>
      </c>
      <c r="CM60" s="35">
        <f>IF(COUNTIF($B$15:B60,B60)=1,1,0)</f>
        <v>0</v>
      </c>
      <c r="CN60" s="35">
        <f>SUM($CM$15:CM60)</f>
        <v>1</v>
      </c>
      <c r="CO60" s="24"/>
      <c r="CP60" s="24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</row>
    <row r="61" spans="1:106" s="2" customFormat="1" ht="15" customHeight="1" x14ac:dyDescent="0.15">
      <c r="A61" s="86" t="str">
        <f t="shared" si="9"/>
        <v/>
      </c>
      <c r="B61" s="232"/>
      <c r="C61" s="233"/>
      <c r="D61" s="232"/>
      <c r="E61" s="233"/>
      <c r="F61" s="257"/>
      <c r="G61" s="258"/>
      <c r="H61" s="259"/>
      <c r="I61" s="102"/>
      <c r="J61" s="127"/>
      <c r="K61" s="102"/>
      <c r="L61" s="117"/>
      <c r="M61" s="100"/>
      <c r="N61" s="100"/>
      <c r="O61" s="217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23"/>
      <c r="BW61" s="129"/>
      <c r="BX61" s="130"/>
      <c r="BY61" s="113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5"/>
      <c r="CK61" s="6" t="b">
        <f t="shared" si="11"/>
        <v>0</v>
      </c>
      <c r="CL61" s="24" t="str">
        <f t="shared" ca="1" si="12"/>
        <v/>
      </c>
      <c r="CM61" s="35">
        <f>IF(COUNTIF($B$15:B61,B61)=1,1,0)</f>
        <v>0</v>
      </c>
      <c r="CN61" s="35">
        <f>SUM($CM$15:CM61)</f>
        <v>1</v>
      </c>
      <c r="CO61" s="24"/>
      <c r="CP61" s="24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</row>
    <row r="62" spans="1:106" s="2" customFormat="1" ht="15" customHeight="1" x14ac:dyDescent="0.15">
      <c r="A62" s="86" t="str">
        <f t="shared" si="9"/>
        <v/>
      </c>
      <c r="B62" s="232"/>
      <c r="C62" s="233"/>
      <c r="D62" s="232"/>
      <c r="E62" s="233"/>
      <c r="F62" s="257"/>
      <c r="G62" s="258"/>
      <c r="H62" s="259"/>
      <c r="I62" s="102"/>
      <c r="J62" s="127"/>
      <c r="K62" s="102"/>
      <c r="L62" s="117"/>
      <c r="M62" s="100"/>
      <c r="N62" s="100"/>
      <c r="O62" s="217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23"/>
      <c r="BW62" s="129"/>
      <c r="BX62" s="130"/>
      <c r="BY62" s="113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5"/>
      <c r="CK62" s="6" t="b">
        <f t="shared" si="11"/>
        <v>0</v>
      </c>
      <c r="CL62" s="24" t="str">
        <f t="shared" ca="1" si="12"/>
        <v/>
      </c>
      <c r="CM62" s="35">
        <f>IF(COUNTIF($B$15:B62,B62)=1,1,0)</f>
        <v>0</v>
      </c>
      <c r="CN62" s="35">
        <f>SUM($CM$15:CM62)</f>
        <v>1</v>
      </c>
      <c r="CO62" s="24"/>
      <c r="CP62" s="24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</row>
    <row r="63" spans="1:106" s="2" customFormat="1" ht="15" customHeight="1" x14ac:dyDescent="0.15">
      <c r="A63" s="86" t="str">
        <f t="shared" si="9"/>
        <v/>
      </c>
      <c r="B63" s="232"/>
      <c r="C63" s="233"/>
      <c r="D63" s="232"/>
      <c r="E63" s="233"/>
      <c r="F63" s="257"/>
      <c r="G63" s="258"/>
      <c r="H63" s="259"/>
      <c r="I63" s="102"/>
      <c r="J63" s="127"/>
      <c r="K63" s="102"/>
      <c r="L63" s="117"/>
      <c r="M63" s="100"/>
      <c r="N63" s="100"/>
      <c r="O63" s="217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23"/>
      <c r="BW63" s="129"/>
      <c r="BX63" s="130"/>
      <c r="BY63" s="113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5"/>
      <c r="CK63" s="6" t="b">
        <f t="shared" si="11"/>
        <v>0</v>
      </c>
      <c r="CL63" s="24" t="str">
        <f t="shared" ca="1" si="12"/>
        <v/>
      </c>
      <c r="CM63" s="35">
        <f>IF(COUNTIF($B$15:B63,B63)=1,1,0)</f>
        <v>0</v>
      </c>
      <c r="CN63" s="35">
        <f>SUM($CM$15:CM63)</f>
        <v>1</v>
      </c>
      <c r="CO63" s="24"/>
      <c r="CP63" s="24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</row>
    <row r="64" spans="1:106" s="2" customFormat="1" ht="15" customHeight="1" x14ac:dyDescent="0.15">
      <c r="A64" s="86" t="str">
        <f t="shared" si="9"/>
        <v/>
      </c>
      <c r="B64" s="232"/>
      <c r="C64" s="233"/>
      <c r="D64" s="232"/>
      <c r="E64" s="233"/>
      <c r="F64" s="257"/>
      <c r="G64" s="258"/>
      <c r="H64" s="259"/>
      <c r="I64" s="102"/>
      <c r="J64" s="127"/>
      <c r="K64" s="102"/>
      <c r="L64" s="161"/>
      <c r="M64" s="102"/>
      <c r="N64" s="102"/>
      <c r="O64" s="217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23"/>
      <c r="BW64" s="129"/>
      <c r="BX64" s="130"/>
      <c r="BY64" s="113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5"/>
      <c r="CK64" s="6" t="b">
        <f t="shared" si="11"/>
        <v>0</v>
      </c>
      <c r="CL64" s="24" t="str">
        <f t="shared" ca="1" si="12"/>
        <v/>
      </c>
      <c r="CM64" s="35">
        <f>IF(COUNTIF($B$15:B64,B64)=1,1,0)</f>
        <v>0</v>
      </c>
      <c r="CN64" s="35">
        <f>SUM($CM$15:CM64)</f>
        <v>1</v>
      </c>
      <c r="CO64" s="24"/>
      <c r="CP64" s="24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</row>
    <row r="65" spans="1:95" x14ac:dyDescent="0.15">
      <c r="A65" s="86" t="str">
        <f t="shared" si="9"/>
        <v/>
      </c>
      <c r="B65" s="232"/>
      <c r="C65" s="233"/>
      <c r="D65" s="232"/>
      <c r="E65" s="233"/>
      <c r="F65" s="257"/>
      <c r="G65" s="258"/>
      <c r="H65" s="259"/>
      <c r="I65" s="102"/>
      <c r="J65" s="127"/>
      <c r="K65" s="102"/>
      <c r="L65" s="161"/>
      <c r="M65" s="102"/>
      <c r="N65" s="102"/>
      <c r="O65" s="217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23"/>
      <c r="BW65" s="129"/>
      <c r="BX65" s="130"/>
      <c r="BY65" s="113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5"/>
      <c r="CK65" s="6" t="b">
        <f t="shared" si="11"/>
        <v>0</v>
      </c>
      <c r="CL65" s="24" t="str">
        <f t="shared" ca="1" si="12"/>
        <v/>
      </c>
      <c r="CM65" s="35">
        <f>IF(COUNTIF($B$15:B65,B65)=1,1,0)</f>
        <v>0</v>
      </c>
      <c r="CN65" s="35">
        <f>SUM($CM$15:CM65)</f>
        <v>1</v>
      </c>
      <c r="CO65" s="24"/>
      <c r="CP65" s="24"/>
      <c r="CQ65" s="2"/>
    </row>
    <row r="66" spans="1:95" x14ac:dyDescent="0.15">
      <c r="A66" s="86" t="str">
        <f t="shared" si="9"/>
        <v/>
      </c>
      <c r="B66" s="232"/>
      <c r="C66" s="233"/>
      <c r="D66" s="232"/>
      <c r="E66" s="233"/>
      <c r="F66" s="257"/>
      <c r="G66" s="258"/>
      <c r="H66" s="259"/>
      <c r="I66" s="102"/>
      <c r="J66" s="127"/>
      <c r="K66" s="102"/>
      <c r="L66" s="161"/>
      <c r="M66" s="102"/>
      <c r="N66" s="102"/>
      <c r="O66" s="217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23"/>
      <c r="BW66" s="129"/>
      <c r="BX66" s="130"/>
      <c r="BY66" s="113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5"/>
      <c r="CK66" s="6" t="b">
        <f t="shared" si="11"/>
        <v>0</v>
      </c>
      <c r="CL66" s="24" t="str">
        <f t="shared" ca="1" si="12"/>
        <v/>
      </c>
      <c r="CM66" s="35">
        <f>IF(COUNTIF($B$15:B66,B66)=1,1,0)</f>
        <v>0</v>
      </c>
      <c r="CN66" s="35">
        <f>SUM($CM$15:CM66)</f>
        <v>1</v>
      </c>
      <c r="CO66" s="24"/>
      <c r="CP66" s="24"/>
      <c r="CQ66" s="2"/>
    </row>
    <row r="67" spans="1:95" x14ac:dyDescent="0.15">
      <c r="A67" s="86" t="str">
        <f t="shared" si="9"/>
        <v/>
      </c>
      <c r="B67" s="232"/>
      <c r="C67" s="233"/>
      <c r="D67" s="232"/>
      <c r="E67" s="233"/>
      <c r="F67" s="257"/>
      <c r="G67" s="258"/>
      <c r="H67" s="259"/>
      <c r="I67" s="102"/>
      <c r="J67" s="127"/>
      <c r="K67" s="102"/>
      <c r="L67" s="161"/>
      <c r="M67" s="102"/>
      <c r="N67" s="102"/>
      <c r="O67" s="217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23"/>
      <c r="BW67" s="129"/>
      <c r="BX67" s="130"/>
      <c r="BY67" s="113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5"/>
      <c r="CK67" s="6" t="b">
        <f t="shared" si="11"/>
        <v>0</v>
      </c>
      <c r="CL67" s="24" t="str">
        <f t="shared" ca="1" si="12"/>
        <v/>
      </c>
      <c r="CM67" s="35">
        <f>IF(COUNTIF($B$15:B67,B67)=1,1,0)</f>
        <v>0</v>
      </c>
      <c r="CN67" s="35">
        <f>SUM($CM$15:CM67)</f>
        <v>1</v>
      </c>
      <c r="CO67" s="24"/>
      <c r="CP67" s="24"/>
    </row>
    <row r="68" spans="1:95" x14ac:dyDescent="0.15">
      <c r="A68" s="86" t="str">
        <f t="shared" si="9"/>
        <v/>
      </c>
      <c r="B68" s="232"/>
      <c r="C68" s="233"/>
      <c r="D68" s="232"/>
      <c r="E68" s="233"/>
      <c r="F68" s="257"/>
      <c r="G68" s="258"/>
      <c r="H68" s="259"/>
      <c r="I68" s="102"/>
      <c r="J68" s="127"/>
      <c r="K68" s="102"/>
      <c r="L68" s="161"/>
      <c r="M68" s="102"/>
      <c r="N68" s="102"/>
      <c r="O68" s="217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23"/>
      <c r="BW68" s="129"/>
      <c r="BX68" s="130"/>
      <c r="BY68" s="113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5"/>
      <c r="CK68" s="6" t="b">
        <f t="shared" si="11"/>
        <v>0</v>
      </c>
      <c r="CL68" s="24" t="str">
        <f t="shared" ca="1" si="12"/>
        <v/>
      </c>
      <c r="CM68" s="35">
        <f>IF(COUNTIF($B$15:B68,B68)=1,1,0)</f>
        <v>0</v>
      </c>
      <c r="CN68" s="35">
        <f>SUM($CM$15:CM68)</f>
        <v>1</v>
      </c>
      <c r="CO68" s="24"/>
      <c r="CP68" s="24"/>
    </row>
    <row r="69" spans="1:95" x14ac:dyDescent="0.15">
      <c r="A69" s="86" t="str">
        <f t="shared" si="9"/>
        <v/>
      </c>
      <c r="B69" s="232"/>
      <c r="C69" s="233"/>
      <c r="D69" s="232"/>
      <c r="E69" s="233"/>
      <c r="F69" s="257"/>
      <c r="G69" s="258"/>
      <c r="H69" s="259"/>
      <c r="I69" s="102"/>
      <c r="J69" s="127"/>
      <c r="K69" s="102"/>
      <c r="L69" s="161"/>
      <c r="M69" s="102"/>
      <c r="N69" s="102"/>
      <c r="O69" s="217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23"/>
      <c r="BW69" s="129"/>
      <c r="BX69" s="130"/>
      <c r="BY69" s="113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5"/>
      <c r="CK69" s="6" t="b">
        <f t="shared" si="11"/>
        <v>0</v>
      </c>
      <c r="CL69" s="24" t="str">
        <f t="shared" ca="1" si="12"/>
        <v/>
      </c>
      <c r="CM69" s="35">
        <f>IF(COUNTIF($B$15:B69,B69)=1,1,0)</f>
        <v>0</v>
      </c>
      <c r="CN69" s="35">
        <f>SUM($CM$15:CM69)</f>
        <v>1</v>
      </c>
      <c r="CO69" s="24"/>
      <c r="CP69" s="24"/>
    </row>
    <row r="70" spans="1:95" x14ac:dyDescent="0.15">
      <c r="A70" s="86" t="str">
        <f t="shared" si="9"/>
        <v/>
      </c>
      <c r="B70" s="232"/>
      <c r="C70" s="233"/>
      <c r="D70" s="232"/>
      <c r="E70" s="233"/>
      <c r="F70" s="257"/>
      <c r="G70" s="258"/>
      <c r="H70" s="259"/>
      <c r="I70" s="102"/>
      <c r="J70" s="127"/>
      <c r="K70" s="102"/>
      <c r="L70" s="161"/>
      <c r="M70" s="102"/>
      <c r="N70" s="102"/>
      <c r="O70" s="217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23"/>
      <c r="BW70" s="129"/>
      <c r="BX70" s="130"/>
      <c r="BY70" s="113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5"/>
      <c r="CK70" s="6" t="b">
        <f t="shared" si="11"/>
        <v>0</v>
      </c>
      <c r="CL70" s="24" t="str">
        <f t="shared" ca="1" si="12"/>
        <v/>
      </c>
      <c r="CM70" s="35">
        <f>IF(COUNTIF($B$15:B70,B70)=1,1,0)</f>
        <v>0</v>
      </c>
      <c r="CN70" s="35">
        <f>SUM($CM$15:CM70)</f>
        <v>1</v>
      </c>
      <c r="CO70" s="24"/>
      <c r="CP70" s="24"/>
    </row>
    <row r="71" spans="1:95" x14ac:dyDescent="0.15">
      <c r="A71" s="86" t="str">
        <f t="shared" si="9"/>
        <v/>
      </c>
      <c r="B71" s="232"/>
      <c r="C71" s="233"/>
      <c r="D71" s="232"/>
      <c r="E71" s="233"/>
      <c r="F71" s="257"/>
      <c r="G71" s="258"/>
      <c r="H71" s="259"/>
      <c r="I71" s="102"/>
      <c r="J71" s="127"/>
      <c r="K71" s="102"/>
      <c r="L71" s="161"/>
      <c r="M71" s="102"/>
      <c r="N71" s="102"/>
      <c r="O71" s="217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23"/>
      <c r="BW71" s="129"/>
      <c r="BX71" s="130"/>
      <c r="BY71" s="113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5"/>
      <c r="CK71" s="6" t="b">
        <f t="shared" si="11"/>
        <v>0</v>
      </c>
      <c r="CL71" s="24" t="str">
        <f t="shared" ca="1" si="12"/>
        <v/>
      </c>
      <c r="CM71" s="35">
        <f>IF(COUNTIF($B$15:B71,B71)=1,1,0)</f>
        <v>0</v>
      </c>
      <c r="CN71" s="35">
        <f>SUM($CM$15:CM71)</f>
        <v>1</v>
      </c>
      <c r="CO71" s="24"/>
      <c r="CP71" s="24"/>
    </row>
    <row r="72" spans="1:95" x14ac:dyDescent="0.15">
      <c r="A72" s="86" t="str">
        <f t="shared" si="9"/>
        <v/>
      </c>
      <c r="B72" s="232"/>
      <c r="C72" s="233"/>
      <c r="D72" s="232"/>
      <c r="E72" s="233"/>
      <c r="F72" s="257"/>
      <c r="G72" s="258"/>
      <c r="H72" s="259"/>
      <c r="I72" s="102"/>
      <c r="J72" s="127"/>
      <c r="K72" s="102"/>
      <c r="L72" s="161"/>
      <c r="M72" s="102"/>
      <c r="N72" s="102"/>
      <c r="O72" s="217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23"/>
      <c r="BW72" s="129"/>
      <c r="BX72" s="130"/>
      <c r="BY72" s="113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5"/>
      <c r="CK72" s="6" t="b">
        <f t="shared" si="11"/>
        <v>0</v>
      </c>
      <c r="CL72" s="24" t="str">
        <f t="shared" ca="1" si="12"/>
        <v/>
      </c>
      <c r="CM72" s="35">
        <f>IF(COUNTIF($B$15:B72,B72)=1,1,0)</f>
        <v>0</v>
      </c>
      <c r="CN72" s="35">
        <f>SUM($CM$15:CM72)</f>
        <v>1</v>
      </c>
      <c r="CO72" s="24"/>
      <c r="CP72" s="24"/>
    </row>
    <row r="73" spans="1:95" x14ac:dyDescent="0.15">
      <c r="A73" s="86" t="str">
        <f t="shared" si="9"/>
        <v/>
      </c>
      <c r="B73" s="232"/>
      <c r="C73" s="233"/>
      <c r="D73" s="232"/>
      <c r="E73" s="233"/>
      <c r="F73" s="257"/>
      <c r="G73" s="258"/>
      <c r="H73" s="259"/>
      <c r="I73" s="102"/>
      <c r="J73" s="127"/>
      <c r="K73" s="102"/>
      <c r="L73" s="161"/>
      <c r="M73" s="102"/>
      <c r="N73" s="102"/>
      <c r="O73" s="217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23"/>
      <c r="BW73" s="129"/>
      <c r="BX73" s="130"/>
      <c r="BY73" s="113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5"/>
      <c r="CK73" s="6" t="b">
        <f t="shared" si="11"/>
        <v>0</v>
      </c>
      <c r="CL73" s="24" t="str">
        <f t="shared" ca="1" si="12"/>
        <v/>
      </c>
      <c r="CM73" s="35">
        <f>IF(COUNTIF($B$15:B73,B73)=1,1,0)</f>
        <v>0</v>
      </c>
      <c r="CN73" s="35">
        <f>SUM($CM$15:CM73)</f>
        <v>1</v>
      </c>
      <c r="CO73" s="24"/>
      <c r="CP73" s="24"/>
    </row>
    <row r="74" spans="1:95" x14ac:dyDescent="0.15">
      <c r="A74" s="86" t="str">
        <f t="shared" si="9"/>
        <v/>
      </c>
      <c r="B74" s="232"/>
      <c r="C74" s="233"/>
      <c r="D74" s="232"/>
      <c r="E74" s="233"/>
      <c r="F74" s="257"/>
      <c r="G74" s="258"/>
      <c r="H74" s="259"/>
      <c r="I74" s="102"/>
      <c r="J74" s="127"/>
      <c r="K74" s="102"/>
      <c r="L74" s="161"/>
      <c r="M74" s="102"/>
      <c r="N74" s="102"/>
      <c r="O74" s="217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23"/>
      <c r="BW74" s="129"/>
      <c r="BX74" s="130"/>
      <c r="BY74" s="113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5"/>
      <c r="CK74" s="6" t="b">
        <f t="shared" si="11"/>
        <v>0</v>
      </c>
      <c r="CL74" s="24" t="str">
        <f t="shared" ca="1" si="12"/>
        <v/>
      </c>
      <c r="CM74" s="35">
        <f>IF(COUNTIF($B$15:B74,B74)=1,1,0)</f>
        <v>0</v>
      </c>
      <c r="CN74" s="35">
        <f>SUM($CM$15:CM74)</f>
        <v>1</v>
      </c>
      <c r="CO74" s="24"/>
      <c r="CP74" s="24"/>
    </row>
    <row r="75" spans="1:95" x14ac:dyDescent="0.15">
      <c r="A75" s="86" t="str">
        <f t="shared" si="9"/>
        <v/>
      </c>
      <c r="B75" s="232"/>
      <c r="C75" s="233"/>
      <c r="D75" s="232"/>
      <c r="E75" s="233"/>
      <c r="F75" s="257"/>
      <c r="G75" s="258"/>
      <c r="H75" s="259"/>
      <c r="I75" s="102"/>
      <c r="J75" s="127"/>
      <c r="K75" s="102"/>
      <c r="L75" s="161"/>
      <c r="M75" s="102"/>
      <c r="N75" s="102"/>
      <c r="O75" s="217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23"/>
      <c r="BW75" s="129"/>
      <c r="BX75" s="130"/>
      <c r="BY75" s="113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5"/>
      <c r="CK75" s="6" t="b">
        <f t="shared" si="11"/>
        <v>0</v>
      </c>
      <c r="CL75" s="24" t="str">
        <f t="shared" ca="1" si="12"/>
        <v/>
      </c>
      <c r="CM75" s="35">
        <f>IF(COUNTIF($B$15:B75,B75)=1,1,0)</f>
        <v>0</v>
      </c>
      <c r="CN75" s="35">
        <f>SUM($CM$15:CM75)</f>
        <v>1</v>
      </c>
      <c r="CO75" s="24"/>
      <c r="CP75" s="24"/>
    </row>
    <row r="76" spans="1:95" x14ac:dyDescent="0.15">
      <c r="A76" s="86" t="str">
        <f t="shared" si="9"/>
        <v/>
      </c>
      <c r="B76" s="232"/>
      <c r="C76" s="233"/>
      <c r="D76" s="232"/>
      <c r="E76" s="233"/>
      <c r="F76" s="257"/>
      <c r="G76" s="258"/>
      <c r="H76" s="259"/>
      <c r="I76" s="102"/>
      <c r="J76" s="127"/>
      <c r="K76" s="102"/>
      <c r="L76" s="161"/>
      <c r="M76" s="102"/>
      <c r="N76" s="102"/>
      <c r="O76" s="217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23"/>
      <c r="BW76" s="129"/>
      <c r="BX76" s="130"/>
      <c r="BY76" s="113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5"/>
      <c r="CK76" s="6" t="b">
        <f t="shared" si="11"/>
        <v>0</v>
      </c>
      <c r="CL76" s="24" t="str">
        <f t="shared" ca="1" si="12"/>
        <v/>
      </c>
      <c r="CM76" s="35">
        <f>IF(COUNTIF($B$15:B76,B76)=1,1,0)</f>
        <v>0</v>
      </c>
      <c r="CN76" s="35">
        <f>SUM($CM$15:CM76)</f>
        <v>1</v>
      </c>
      <c r="CO76" s="24"/>
      <c r="CP76" s="24"/>
    </row>
    <row r="77" spans="1:95" x14ac:dyDescent="0.15">
      <c r="A77" s="86" t="str">
        <f t="shared" si="9"/>
        <v/>
      </c>
      <c r="B77" s="232"/>
      <c r="C77" s="233"/>
      <c r="D77" s="232"/>
      <c r="E77" s="233"/>
      <c r="F77" s="257"/>
      <c r="G77" s="258"/>
      <c r="H77" s="259"/>
      <c r="I77" s="102"/>
      <c r="J77" s="127"/>
      <c r="K77" s="102"/>
      <c r="L77" s="161"/>
      <c r="M77" s="102"/>
      <c r="N77" s="102"/>
      <c r="O77" s="217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23"/>
      <c r="BW77" s="129"/>
      <c r="BX77" s="130"/>
      <c r="BY77" s="113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5"/>
      <c r="CK77" s="6" t="b">
        <f t="shared" si="11"/>
        <v>0</v>
      </c>
      <c r="CL77" s="24" t="str">
        <f t="shared" ca="1" si="12"/>
        <v/>
      </c>
      <c r="CM77" s="35">
        <f>IF(COUNTIF($B$15:B77,B77)=1,1,0)</f>
        <v>0</v>
      </c>
      <c r="CN77" s="35">
        <f>SUM($CM$15:CM77)</f>
        <v>1</v>
      </c>
      <c r="CO77" s="24"/>
      <c r="CP77" s="24"/>
    </row>
    <row r="78" spans="1:95" x14ac:dyDescent="0.15">
      <c r="A78" s="86" t="str">
        <f t="shared" si="9"/>
        <v/>
      </c>
      <c r="B78" s="232"/>
      <c r="C78" s="233"/>
      <c r="D78" s="232"/>
      <c r="E78" s="233"/>
      <c r="F78" s="257"/>
      <c r="G78" s="258"/>
      <c r="H78" s="259"/>
      <c r="I78" s="102"/>
      <c r="J78" s="127"/>
      <c r="K78" s="102"/>
      <c r="L78" s="161"/>
      <c r="M78" s="102"/>
      <c r="N78" s="102"/>
      <c r="O78" s="217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23"/>
      <c r="BW78" s="129"/>
      <c r="BX78" s="130"/>
      <c r="BY78" s="113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5"/>
      <c r="CK78" s="6" t="b">
        <f t="shared" si="11"/>
        <v>0</v>
      </c>
      <c r="CL78" s="24" t="str">
        <f t="shared" ca="1" si="12"/>
        <v/>
      </c>
      <c r="CM78" s="35">
        <f>IF(COUNTIF($B$15:B78,B78)=1,1,0)</f>
        <v>0</v>
      </c>
      <c r="CN78" s="35">
        <f>SUM($CM$15:CM78)</f>
        <v>1</v>
      </c>
      <c r="CO78" s="24"/>
      <c r="CP78" s="24"/>
    </row>
    <row r="79" spans="1:95" x14ac:dyDescent="0.15">
      <c r="A79" s="86" t="str">
        <f t="shared" si="9"/>
        <v/>
      </c>
      <c r="B79" s="232"/>
      <c r="C79" s="233"/>
      <c r="D79" s="232"/>
      <c r="E79" s="233"/>
      <c r="F79" s="257"/>
      <c r="G79" s="258"/>
      <c r="H79" s="259"/>
      <c r="I79" s="102"/>
      <c r="J79" s="127"/>
      <c r="K79" s="102"/>
      <c r="L79" s="161"/>
      <c r="M79" s="102"/>
      <c r="N79" s="102"/>
      <c r="O79" s="217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23"/>
      <c r="BW79" s="129"/>
      <c r="BX79" s="130"/>
      <c r="BY79" s="113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5"/>
      <c r="CK79" s="6" t="b">
        <f t="shared" si="11"/>
        <v>0</v>
      </c>
      <c r="CL79" s="24" t="str">
        <f t="shared" ref="CL79:CL114" ca="1" si="13">IFERROR(OFFSET($O$11,0,MATCH("○",O79:BV79,0)-1,1,1),"")</f>
        <v/>
      </c>
      <c r="CM79" s="35">
        <f>IF(COUNTIF($B$15:B79,B79)=1,1,0)</f>
        <v>0</v>
      </c>
      <c r="CN79" s="35">
        <f>SUM($CM$15:CM79)</f>
        <v>1</v>
      </c>
      <c r="CO79" s="24"/>
      <c r="CP79" s="24"/>
    </row>
    <row r="80" spans="1:95" x14ac:dyDescent="0.15">
      <c r="A80" s="86" t="str">
        <f t="shared" si="9"/>
        <v/>
      </c>
      <c r="B80" s="232"/>
      <c r="C80" s="233"/>
      <c r="D80" s="232"/>
      <c r="E80" s="233"/>
      <c r="F80" s="257"/>
      <c r="G80" s="258"/>
      <c r="H80" s="259"/>
      <c r="I80" s="102"/>
      <c r="J80" s="127"/>
      <c r="K80" s="102"/>
      <c r="L80" s="161"/>
      <c r="M80" s="102"/>
      <c r="N80" s="102"/>
      <c r="O80" s="217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23"/>
      <c r="BW80" s="129"/>
      <c r="BX80" s="130"/>
      <c r="BY80" s="113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5"/>
      <c r="CK80" s="6" t="b">
        <f t="shared" ref="CK80:CK114" si="14">COUNTIF(O80:BV80,"○")&gt;0</f>
        <v>0</v>
      </c>
      <c r="CL80" s="24" t="str">
        <f t="shared" ca="1" si="13"/>
        <v/>
      </c>
      <c r="CM80" s="35">
        <f>IF(COUNTIF($B$15:B80,B80)=1,1,0)</f>
        <v>0</v>
      </c>
      <c r="CN80" s="35">
        <f>SUM($CM$15:CM80)</f>
        <v>1</v>
      </c>
      <c r="CO80" s="24"/>
      <c r="CP80" s="24"/>
    </row>
    <row r="81" spans="1:94" x14ac:dyDescent="0.15">
      <c r="A81" s="86" t="str">
        <f t="shared" ref="A81:A114" si="15">IFERROR(IF(B81="","",A80+1),"")</f>
        <v/>
      </c>
      <c r="B81" s="232"/>
      <c r="C81" s="233"/>
      <c r="D81" s="232"/>
      <c r="E81" s="233"/>
      <c r="F81" s="257"/>
      <c r="G81" s="258"/>
      <c r="H81" s="259"/>
      <c r="I81" s="102"/>
      <c r="J81" s="127"/>
      <c r="K81" s="102"/>
      <c r="L81" s="161"/>
      <c r="M81" s="102"/>
      <c r="N81" s="102"/>
      <c r="O81" s="217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23"/>
      <c r="BW81" s="129"/>
      <c r="BX81" s="130"/>
      <c r="BY81" s="113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5"/>
      <c r="CK81" s="6" t="b">
        <f t="shared" si="14"/>
        <v>0</v>
      </c>
      <c r="CL81" s="24" t="str">
        <f t="shared" ca="1" si="13"/>
        <v/>
      </c>
      <c r="CM81" s="35">
        <f>IF(COUNTIF($B$15:B81,B81)=1,1,0)</f>
        <v>0</v>
      </c>
      <c r="CN81" s="35">
        <f>SUM($CM$15:CM81)</f>
        <v>1</v>
      </c>
      <c r="CO81" s="24"/>
      <c r="CP81" s="24"/>
    </row>
    <row r="82" spans="1:94" x14ac:dyDescent="0.15">
      <c r="A82" s="86" t="str">
        <f t="shared" si="15"/>
        <v/>
      </c>
      <c r="B82" s="232"/>
      <c r="C82" s="233"/>
      <c r="D82" s="232"/>
      <c r="E82" s="233"/>
      <c r="F82" s="257"/>
      <c r="G82" s="258"/>
      <c r="H82" s="259"/>
      <c r="I82" s="102"/>
      <c r="J82" s="127"/>
      <c r="K82" s="102"/>
      <c r="L82" s="161"/>
      <c r="M82" s="102"/>
      <c r="N82" s="102"/>
      <c r="O82" s="217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23"/>
      <c r="BW82" s="129"/>
      <c r="BX82" s="130"/>
      <c r="BY82" s="113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5"/>
      <c r="CK82" s="6" t="b">
        <f t="shared" si="14"/>
        <v>0</v>
      </c>
      <c r="CL82" s="24" t="str">
        <f t="shared" ca="1" si="13"/>
        <v/>
      </c>
      <c r="CM82" s="35">
        <f>IF(COUNTIF($B$15:B82,B82)=1,1,0)</f>
        <v>0</v>
      </c>
      <c r="CN82" s="35">
        <f>SUM($CM$15:CM82)</f>
        <v>1</v>
      </c>
      <c r="CO82" s="24"/>
      <c r="CP82" s="24"/>
    </row>
    <row r="83" spans="1:94" x14ac:dyDescent="0.15">
      <c r="A83" s="86" t="str">
        <f t="shared" si="15"/>
        <v/>
      </c>
      <c r="B83" s="232"/>
      <c r="C83" s="233"/>
      <c r="D83" s="232"/>
      <c r="E83" s="233"/>
      <c r="F83" s="257"/>
      <c r="G83" s="258"/>
      <c r="H83" s="259"/>
      <c r="I83" s="102"/>
      <c r="J83" s="127"/>
      <c r="K83" s="102"/>
      <c r="L83" s="161"/>
      <c r="M83" s="102"/>
      <c r="N83" s="102"/>
      <c r="O83" s="217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23"/>
      <c r="BW83" s="129"/>
      <c r="BX83" s="130"/>
      <c r="BY83" s="113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5"/>
      <c r="CK83" s="6" t="b">
        <f t="shared" si="14"/>
        <v>0</v>
      </c>
      <c r="CL83" s="24" t="str">
        <f t="shared" ca="1" si="13"/>
        <v/>
      </c>
      <c r="CM83" s="35">
        <f>IF(COUNTIF($B$15:B83,B83)=1,1,0)</f>
        <v>0</v>
      </c>
      <c r="CN83" s="35">
        <f>SUM($CM$15:CM83)</f>
        <v>1</v>
      </c>
      <c r="CO83" s="24"/>
      <c r="CP83" s="24"/>
    </row>
    <row r="84" spans="1:94" x14ac:dyDescent="0.15">
      <c r="A84" s="86" t="str">
        <f t="shared" si="15"/>
        <v/>
      </c>
      <c r="B84" s="232"/>
      <c r="C84" s="233"/>
      <c r="D84" s="232"/>
      <c r="E84" s="233"/>
      <c r="F84" s="257"/>
      <c r="G84" s="258"/>
      <c r="H84" s="259"/>
      <c r="I84" s="102"/>
      <c r="J84" s="127"/>
      <c r="K84" s="102"/>
      <c r="L84" s="161"/>
      <c r="M84" s="102"/>
      <c r="N84" s="102"/>
      <c r="O84" s="217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23"/>
      <c r="BW84" s="129"/>
      <c r="BX84" s="130"/>
      <c r="BY84" s="113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5"/>
      <c r="CK84" s="6" t="b">
        <f t="shared" si="14"/>
        <v>0</v>
      </c>
      <c r="CL84" s="24" t="str">
        <f t="shared" ca="1" si="13"/>
        <v/>
      </c>
      <c r="CM84" s="35">
        <f>IF(COUNTIF($B$15:B84,B84)=1,1,0)</f>
        <v>0</v>
      </c>
      <c r="CN84" s="35">
        <f>SUM($CM$15:CM84)</f>
        <v>1</v>
      </c>
      <c r="CO84" s="24"/>
      <c r="CP84" s="24"/>
    </row>
    <row r="85" spans="1:94" x14ac:dyDescent="0.15">
      <c r="A85" s="86" t="str">
        <f t="shared" si="15"/>
        <v/>
      </c>
      <c r="B85" s="232"/>
      <c r="C85" s="233"/>
      <c r="D85" s="232"/>
      <c r="E85" s="233"/>
      <c r="F85" s="257"/>
      <c r="G85" s="258"/>
      <c r="H85" s="259"/>
      <c r="I85" s="102"/>
      <c r="J85" s="127"/>
      <c r="K85" s="102"/>
      <c r="L85" s="161"/>
      <c r="M85" s="102"/>
      <c r="N85" s="102"/>
      <c r="O85" s="217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23"/>
      <c r="BW85" s="129"/>
      <c r="BX85" s="130"/>
      <c r="BY85" s="113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5"/>
      <c r="CK85" s="6" t="b">
        <f t="shared" si="14"/>
        <v>0</v>
      </c>
      <c r="CL85" s="24" t="str">
        <f t="shared" ca="1" si="13"/>
        <v/>
      </c>
      <c r="CM85" s="35">
        <f>IF(COUNTIF($B$15:B85,B85)=1,1,0)</f>
        <v>0</v>
      </c>
      <c r="CN85" s="35">
        <f>SUM($CM$15:CM85)</f>
        <v>1</v>
      </c>
      <c r="CO85" s="24"/>
      <c r="CP85" s="24"/>
    </row>
    <row r="86" spans="1:94" x14ac:dyDescent="0.15">
      <c r="A86" s="86" t="str">
        <f t="shared" si="15"/>
        <v/>
      </c>
      <c r="B86" s="232"/>
      <c r="C86" s="233"/>
      <c r="D86" s="232"/>
      <c r="E86" s="233"/>
      <c r="F86" s="257"/>
      <c r="G86" s="258"/>
      <c r="H86" s="259"/>
      <c r="I86" s="102"/>
      <c r="J86" s="127"/>
      <c r="K86" s="102"/>
      <c r="L86" s="161"/>
      <c r="M86" s="102"/>
      <c r="N86" s="102"/>
      <c r="O86" s="217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23"/>
      <c r="BW86" s="129"/>
      <c r="BX86" s="130"/>
      <c r="BY86" s="113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5"/>
      <c r="CK86" s="6" t="b">
        <f t="shared" si="14"/>
        <v>0</v>
      </c>
      <c r="CL86" s="24" t="str">
        <f t="shared" ca="1" si="13"/>
        <v/>
      </c>
      <c r="CM86" s="35">
        <f>IF(COUNTIF($B$15:B86,B86)=1,1,0)</f>
        <v>0</v>
      </c>
      <c r="CN86" s="35">
        <f>SUM($CM$15:CM86)</f>
        <v>1</v>
      </c>
      <c r="CO86" s="24"/>
      <c r="CP86" s="24"/>
    </row>
    <row r="87" spans="1:94" x14ac:dyDescent="0.15">
      <c r="A87" s="86" t="str">
        <f t="shared" si="15"/>
        <v/>
      </c>
      <c r="B87" s="232"/>
      <c r="C87" s="233"/>
      <c r="D87" s="232"/>
      <c r="E87" s="233"/>
      <c r="F87" s="257"/>
      <c r="G87" s="258"/>
      <c r="H87" s="259"/>
      <c r="I87" s="102"/>
      <c r="J87" s="127"/>
      <c r="K87" s="102"/>
      <c r="L87" s="161"/>
      <c r="M87" s="102"/>
      <c r="N87" s="102"/>
      <c r="O87" s="217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23"/>
      <c r="BW87" s="129"/>
      <c r="BX87" s="130"/>
      <c r="BY87" s="113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5"/>
      <c r="CK87" s="6" t="b">
        <f t="shared" si="14"/>
        <v>0</v>
      </c>
      <c r="CL87" s="24" t="str">
        <f t="shared" ca="1" si="13"/>
        <v/>
      </c>
      <c r="CM87" s="35">
        <f>IF(COUNTIF($B$15:B87,B87)=1,1,0)</f>
        <v>0</v>
      </c>
      <c r="CN87" s="35">
        <f>SUM($CM$15:CM87)</f>
        <v>1</v>
      </c>
      <c r="CO87" s="24"/>
      <c r="CP87" s="24"/>
    </row>
    <row r="88" spans="1:94" x14ac:dyDescent="0.15">
      <c r="A88" s="86" t="str">
        <f t="shared" si="15"/>
        <v/>
      </c>
      <c r="B88" s="232"/>
      <c r="C88" s="233"/>
      <c r="D88" s="232"/>
      <c r="E88" s="233"/>
      <c r="F88" s="257"/>
      <c r="G88" s="258"/>
      <c r="H88" s="259"/>
      <c r="I88" s="102"/>
      <c r="J88" s="127"/>
      <c r="K88" s="102"/>
      <c r="L88" s="161"/>
      <c r="M88" s="102"/>
      <c r="N88" s="102"/>
      <c r="O88" s="217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23"/>
      <c r="BW88" s="129"/>
      <c r="BX88" s="130"/>
      <c r="BY88" s="113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5"/>
      <c r="CK88" s="6" t="b">
        <f t="shared" si="14"/>
        <v>0</v>
      </c>
      <c r="CL88" s="24" t="str">
        <f t="shared" ca="1" si="13"/>
        <v/>
      </c>
      <c r="CM88" s="35">
        <f>IF(COUNTIF($B$15:B88,B88)=1,1,0)</f>
        <v>0</v>
      </c>
      <c r="CN88" s="35">
        <f>SUM($CM$15:CM88)</f>
        <v>1</v>
      </c>
      <c r="CO88" s="24"/>
      <c r="CP88" s="24"/>
    </row>
    <row r="89" spans="1:94" x14ac:dyDescent="0.15">
      <c r="A89" s="86" t="str">
        <f t="shared" si="15"/>
        <v/>
      </c>
      <c r="B89" s="232"/>
      <c r="C89" s="233"/>
      <c r="D89" s="232"/>
      <c r="E89" s="233"/>
      <c r="F89" s="257"/>
      <c r="G89" s="258"/>
      <c r="H89" s="259"/>
      <c r="I89" s="102"/>
      <c r="J89" s="127"/>
      <c r="K89" s="102"/>
      <c r="L89" s="161"/>
      <c r="M89" s="102"/>
      <c r="N89" s="102"/>
      <c r="O89" s="217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23"/>
      <c r="BW89" s="129"/>
      <c r="BX89" s="130"/>
      <c r="BY89" s="113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5"/>
      <c r="CK89" s="6" t="b">
        <f t="shared" si="14"/>
        <v>0</v>
      </c>
      <c r="CL89" s="24" t="str">
        <f t="shared" ca="1" si="13"/>
        <v/>
      </c>
      <c r="CM89" s="35">
        <f>IF(COUNTIF($B$15:B89,B89)=1,1,0)</f>
        <v>0</v>
      </c>
      <c r="CN89" s="35">
        <f>SUM($CM$15:CM89)</f>
        <v>1</v>
      </c>
      <c r="CO89" s="24"/>
      <c r="CP89" s="24"/>
    </row>
    <row r="90" spans="1:94" x14ac:dyDescent="0.15">
      <c r="A90" s="86" t="str">
        <f t="shared" si="15"/>
        <v/>
      </c>
      <c r="B90" s="232"/>
      <c r="C90" s="233"/>
      <c r="D90" s="232"/>
      <c r="E90" s="233"/>
      <c r="F90" s="257"/>
      <c r="G90" s="258"/>
      <c r="H90" s="259"/>
      <c r="I90" s="102"/>
      <c r="J90" s="127"/>
      <c r="K90" s="102"/>
      <c r="L90" s="161"/>
      <c r="M90" s="102"/>
      <c r="N90" s="102"/>
      <c r="O90" s="217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23"/>
      <c r="BW90" s="129"/>
      <c r="BX90" s="130"/>
      <c r="BY90" s="113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5"/>
      <c r="CK90" s="6" t="b">
        <f t="shared" si="14"/>
        <v>0</v>
      </c>
      <c r="CL90" s="24" t="str">
        <f t="shared" ca="1" si="13"/>
        <v/>
      </c>
      <c r="CM90" s="35">
        <f>IF(COUNTIF($B$15:B90,B90)=1,1,0)</f>
        <v>0</v>
      </c>
      <c r="CN90" s="35">
        <f>SUM($CM$15:CM90)</f>
        <v>1</v>
      </c>
      <c r="CO90" s="24"/>
      <c r="CP90" s="24"/>
    </row>
    <row r="91" spans="1:94" x14ac:dyDescent="0.15">
      <c r="A91" s="86" t="str">
        <f t="shared" si="15"/>
        <v/>
      </c>
      <c r="B91" s="232"/>
      <c r="C91" s="233"/>
      <c r="D91" s="232"/>
      <c r="E91" s="233"/>
      <c r="F91" s="257"/>
      <c r="G91" s="258"/>
      <c r="H91" s="259"/>
      <c r="I91" s="102"/>
      <c r="J91" s="127"/>
      <c r="K91" s="102"/>
      <c r="L91" s="161"/>
      <c r="M91" s="102"/>
      <c r="N91" s="102"/>
      <c r="O91" s="217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23"/>
      <c r="BW91" s="129"/>
      <c r="BX91" s="130"/>
      <c r="BY91" s="113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5"/>
      <c r="CK91" s="6" t="b">
        <f t="shared" si="14"/>
        <v>0</v>
      </c>
      <c r="CL91" s="24" t="str">
        <f t="shared" ca="1" si="13"/>
        <v/>
      </c>
      <c r="CM91" s="35">
        <f>IF(COUNTIF($B$15:B91,B91)=1,1,0)</f>
        <v>0</v>
      </c>
      <c r="CN91" s="35">
        <f>SUM($CM$15:CM91)</f>
        <v>1</v>
      </c>
      <c r="CO91" s="24"/>
      <c r="CP91" s="24"/>
    </row>
    <row r="92" spans="1:94" x14ac:dyDescent="0.15">
      <c r="A92" s="86" t="str">
        <f t="shared" si="15"/>
        <v/>
      </c>
      <c r="B92" s="232"/>
      <c r="C92" s="233"/>
      <c r="D92" s="232"/>
      <c r="E92" s="233"/>
      <c r="F92" s="257"/>
      <c r="G92" s="258"/>
      <c r="H92" s="259"/>
      <c r="I92" s="102"/>
      <c r="J92" s="127"/>
      <c r="K92" s="102"/>
      <c r="L92" s="161"/>
      <c r="M92" s="102"/>
      <c r="N92" s="102"/>
      <c r="O92" s="217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23"/>
      <c r="BW92" s="129"/>
      <c r="BX92" s="130"/>
      <c r="BY92" s="113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5"/>
      <c r="CK92" s="6" t="b">
        <f t="shared" si="14"/>
        <v>0</v>
      </c>
      <c r="CL92" s="24" t="str">
        <f t="shared" ca="1" si="13"/>
        <v/>
      </c>
      <c r="CM92" s="35">
        <f>IF(COUNTIF($B$15:B92,B92)=1,1,0)</f>
        <v>0</v>
      </c>
      <c r="CN92" s="35">
        <f>SUM($CM$15:CM92)</f>
        <v>1</v>
      </c>
      <c r="CO92" s="24"/>
      <c r="CP92" s="24"/>
    </row>
    <row r="93" spans="1:94" x14ac:dyDescent="0.15">
      <c r="A93" s="86" t="str">
        <f t="shared" si="15"/>
        <v/>
      </c>
      <c r="B93" s="232"/>
      <c r="C93" s="233"/>
      <c r="D93" s="232"/>
      <c r="E93" s="233"/>
      <c r="F93" s="257"/>
      <c r="G93" s="258"/>
      <c r="H93" s="259"/>
      <c r="I93" s="102"/>
      <c r="J93" s="127"/>
      <c r="K93" s="102"/>
      <c r="L93" s="161"/>
      <c r="M93" s="102"/>
      <c r="N93" s="102"/>
      <c r="O93" s="217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23"/>
      <c r="BW93" s="129"/>
      <c r="BX93" s="130"/>
      <c r="BY93" s="113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5"/>
      <c r="CK93" s="6" t="b">
        <f t="shared" si="14"/>
        <v>0</v>
      </c>
      <c r="CL93" s="24" t="str">
        <f t="shared" ca="1" si="13"/>
        <v/>
      </c>
      <c r="CM93" s="35">
        <f>IF(COUNTIF($B$15:B93,B93)=1,1,0)</f>
        <v>0</v>
      </c>
      <c r="CN93" s="35">
        <f>SUM($CM$15:CM93)</f>
        <v>1</v>
      </c>
      <c r="CO93" s="24"/>
      <c r="CP93" s="24"/>
    </row>
    <row r="94" spans="1:94" x14ac:dyDescent="0.15">
      <c r="A94" s="86" t="str">
        <f t="shared" si="15"/>
        <v/>
      </c>
      <c r="B94" s="232"/>
      <c r="C94" s="233"/>
      <c r="D94" s="232"/>
      <c r="E94" s="233"/>
      <c r="F94" s="257"/>
      <c r="G94" s="258"/>
      <c r="H94" s="259"/>
      <c r="I94" s="102"/>
      <c r="J94" s="127"/>
      <c r="K94" s="102"/>
      <c r="L94" s="161"/>
      <c r="M94" s="102"/>
      <c r="N94" s="102"/>
      <c r="O94" s="217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23"/>
      <c r="BW94" s="129"/>
      <c r="BX94" s="130"/>
      <c r="BY94" s="113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5"/>
      <c r="CK94" s="6" t="b">
        <f t="shared" si="14"/>
        <v>0</v>
      </c>
      <c r="CL94" s="24" t="str">
        <f t="shared" ca="1" si="13"/>
        <v/>
      </c>
      <c r="CM94" s="35">
        <f>IF(COUNTIF($B$15:B94,B94)=1,1,0)</f>
        <v>0</v>
      </c>
      <c r="CN94" s="35">
        <f>SUM($CM$15:CM94)</f>
        <v>1</v>
      </c>
      <c r="CO94" s="24"/>
      <c r="CP94" s="24"/>
    </row>
    <row r="95" spans="1:94" x14ac:dyDescent="0.15">
      <c r="A95" s="86" t="str">
        <f t="shared" si="15"/>
        <v/>
      </c>
      <c r="B95" s="232"/>
      <c r="C95" s="233"/>
      <c r="D95" s="232"/>
      <c r="E95" s="233"/>
      <c r="F95" s="257"/>
      <c r="G95" s="258"/>
      <c r="H95" s="259"/>
      <c r="I95" s="102"/>
      <c r="J95" s="127"/>
      <c r="K95" s="102"/>
      <c r="L95" s="161"/>
      <c r="M95" s="102"/>
      <c r="N95" s="102"/>
      <c r="O95" s="217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23"/>
      <c r="BW95" s="129"/>
      <c r="BX95" s="130"/>
      <c r="BY95" s="113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5"/>
      <c r="CK95" s="6" t="b">
        <f t="shared" si="14"/>
        <v>0</v>
      </c>
      <c r="CL95" s="24" t="str">
        <f t="shared" ca="1" si="13"/>
        <v/>
      </c>
      <c r="CM95" s="35">
        <f>IF(COUNTIF($B$15:B95,B95)=1,1,0)</f>
        <v>0</v>
      </c>
      <c r="CN95" s="35">
        <f>SUM($CM$15:CM95)</f>
        <v>1</v>
      </c>
      <c r="CO95" s="24"/>
      <c r="CP95" s="24"/>
    </row>
    <row r="96" spans="1:94" x14ac:dyDescent="0.15">
      <c r="A96" s="86" t="str">
        <f t="shared" si="15"/>
        <v/>
      </c>
      <c r="B96" s="232"/>
      <c r="C96" s="233"/>
      <c r="D96" s="232"/>
      <c r="E96" s="233"/>
      <c r="F96" s="257"/>
      <c r="G96" s="258"/>
      <c r="H96" s="259"/>
      <c r="I96" s="102"/>
      <c r="J96" s="127"/>
      <c r="K96" s="102"/>
      <c r="L96" s="161"/>
      <c r="M96" s="102"/>
      <c r="N96" s="102"/>
      <c r="O96" s="217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23"/>
      <c r="BW96" s="129"/>
      <c r="BX96" s="130"/>
      <c r="BY96" s="113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5"/>
      <c r="CK96" s="6" t="b">
        <f t="shared" si="14"/>
        <v>0</v>
      </c>
      <c r="CL96" s="24" t="str">
        <f t="shared" ca="1" si="13"/>
        <v/>
      </c>
      <c r="CM96" s="35">
        <f>IF(COUNTIF($B$15:B96,B96)=1,1,0)</f>
        <v>0</v>
      </c>
      <c r="CN96" s="35">
        <f>SUM($CM$15:CM96)</f>
        <v>1</v>
      </c>
      <c r="CO96" s="24"/>
      <c r="CP96" s="24"/>
    </row>
    <row r="97" spans="1:94" x14ac:dyDescent="0.15">
      <c r="A97" s="86" t="str">
        <f t="shared" si="15"/>
        <v/>
      </c>
      <c r="B97" s="232"/>
      <c r="C97" s="233"/>
      <c r="D97" s="232"/>
      <c r="E97" s="233"/>
      <c r="F97" s="257"/>
      <c r="G97" s="258"/>
      <c r="H97" s="259"/>
      <c r="I97" s="102"/>
      <c r="J97" s="127"/>
      <c r="K97" s="102"/>
      <c r="L97" s="161"/>
      <c r="M97" s="102"/>
      <c r="N97" s="102"/>
      <c r="O97" s="217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23"/>
      <c r="BW97" s="129"/>
      <c r="BX97" s="130"/>
      <c r="BY97" s="113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5"/>
      <c r="CK97" s="6" t="b">
        <f t="shared" si="14"/>
        <v>0</v>
      </c>
      <c r="CL97" s="24" t="str">
        <f t="shared" ca="1" si="13"/>
        <v/>
      </c>
      <c r="CM97" s="35">
        <f>IF(COUNTIF($B$15:B97,B97)=1,1,0)</f>
        <v>0</v>
      </c>
      <c r="CN97" s="35">
        <f>SUM($CM$15:CM97)</f>
        <v>1</v>
      </c>
      <c r="CO97" s="24"/>
      <c r="CP97" s="24"/>
    </row>
    <row r="98" spans="1:94" x14ac:dyDescent="0.15">
      <c r="A98" s="86" t="str">
        <f t="shared" si="15"/>
        <v/>
      </c>
      <c r="B98" s="232"/>
      <c r="C98" s="233"/>
      <c r="D98" s="232"/>
      <c r="E98" s="233"/>
      <c r="F98" s="257"/>
      <c r="G98" s="258"/>
      <c r="H98" s="259"/>
      <c r="I98" s="102"/>
      <c r="J98" s="127"/>
      <c r="K98" s="102"/>
      <c r="L98" s="161"/>
      <c r="M98" s="102"/>
      <c r="N98" s="102"/>
      <c r="O98" s="217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23"/>
      <c r="BW98" s="129"/>
      <c r="BX98" s="130"/>
      <c r="BY98" s="113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5"/>
      <c r="CK98" s="6" t="b">
        <f t="shared" si="14"/>
        <v>0</v>
      </c>
      <c r="CL98" s="24" t="str">
        <f t="shared" ca="1" si="13"/>
        <v/>
      </c>
      <c r="CM98" s="35">
        <f>IF(COUNTIF($B$15:B98,B98)=1,1,0)</f>
        <v>0</v>
      </c>
      <c r="CN98" s="35">
        <f>SUM($CM$15:CM98)</f>
        <v>1</v>
      </c>
      <c r="CO98" s="24"/>
      <c r="CP98" s="24"/>
    </row>
    <row r="99" spans="1:94" x14ac:dyDescent="0.15">
      <c r="A99" s="86" t="str">
        <f t="shared" si="15"/>
        <v/>
      </c>
      <c r="B99" s="232"/>
      <c r="C99" s="233"/>
      <c r="D99" s="232"/>
      <c r="E99" s="233"/>
      <c r="F99" s="257"/>
      <c r="G99" s="258"/>
      <c r="H99" s="259"/>
      <c r="I99" s="102"/>
      <c r="J99" s="127"/>
      <c r="K99" s="102"/>
      <c r="L99" s="161"/>
      <c r="M99" s="102"/>
      <c r="N99" s="102"/>
      <c r="O99" s="217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23"/>
      <c r="BW99" s="129"/>
      <c r="BX99" s="130"/>
      <c r="BY99" s="113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5"/>
      <c r="CK99" s="6" t="b">
        <f t="shared" si="14"/>
        <v>0</v>
      </c>
      <c r="CL99" s="24" t="str">
        <f t="shared" ca="1" si="13"/>
        <v/>
      </c>
      <c r="CM99" s="35">
        <f>IF(COUNTIF($B$15:B99,B99)=1,1,0)</f>
        <v>0</v>
      </c>
      <c r="CN99" s="35">
        <f>SUM($CM$15:CM99)</f>
        <v>1</v>
      </c>
      <c r="CO99" s="24"/>
      <c r="CP99" s="24"/>
    </row>
    <row r="100" spans="1:94" x14ac:dyDescent="0.15">
      <c r="A100" s="86" t="str">
        <f t="shared" si="15"/>
        <v/>
      </c>
      <c r="B100" s="232"/>
      <c r="C100" s="233"/>
      <c r="D100" s="232"/>
      <c r="E100" s="233"/>
      <c r="F100" s="257"/>
      <c r="G100" s="258"/>
      <c r="H100" s="259"/>
      <c r="I100" s="102"/>
      <c r="J100" s="127"/>
      <c r="K100" s="102"/>
      <c r="L100" s="161"/>
      <c r="M100" s="102"/>
      <c r="N100" s="102"/>
      <c r="O100" s="217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23"/>
      <c r="BW100" s="129"/>
      <c r="BX100" s="130"/>
      <c r="BY100" s="113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5"/>
      <c r="CK100" s="6" t="b">
        <f t="shared" si="14"/>
        <v>0</v>
      </c>
      <c r="CL100" s="24" t="str">
        <f t="shared" ca="1" si="13"/>
        <v/>
      </c>
      <c r="CM100" s="35">
        <f>IF(COUNTIF($B$15:B100,B100)=1,1,0)</f>
        <v>0</v>
      </c>
      <c r="CN100" s="35">
        <f>SUM($CM$15:CM100)</f>
        <v>1</v>
      </c>
      <c r="CO100" s="24"/>
      <c r="CP100" s="24"/>
    </row>
    <row r="101" spans="1:94" x14ac:dyDescent="0.15">
      <c r="A101" s="86" t="str">
        <f t="shared" si="15"/>
        <v/>
      </c>
      <c r="B101" s="232"/>
      <c r="C101" s="233"/>
      <c r="D101" s="232"/>
      <c r="E101" s="233"/>
      <c r="F101" s="257"/>
      <c r="G101" s="258"/>
      <c r="H101" s="259"/>
      <c r="I101" s="102"/>
      <c r="J101" s="127"/>
      <c r="K101" s="102"/>
      <c r="L101" s="161"/>
      <c r="M101" s="102"/>
      <c r="N101" s="102"/>
      <c r="O101" s="217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23"/>
      <c r="BW101" s="129"/>
      <c r="BX101" s="130"/>
      <c r="BY101" s="113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5"/>
      <c r="CK101" s="6" t="b">
        <f t="shared" si="14"/>
        <v>0</v>
      </c>
      <c r="CL101" s="24" t="str">
        <f t="shared" ca="1" si="13"/>
        <v/>
      </c>
      <c r="CM101" s="35">
        <f>IF(COUNTIF($B$15:B101,B101)=1,1,0)</f>
        <v>0</v>
      </c>
      <c r="CN101" s="35">
        <f>SUM($CM$15:CM101)</f>
        <v>1</v>
      </c>
      <c r="CO101" s="24"/>
      <c r="CP101" s="24"/>
    </row>
    <row r="102" spans="1:94" x14ac:dyDescent="0.15">
      <c r="A102" s="86" t="str">
        <f t="shared" si="15"/>
        <v/>
      </c>
      <c r="B102" s="232"/>
      <c r="C102" s="233"/>
      <c r="D102" s="232"/>
      <c r="E102" s="233"/>
      <c r="F102" s="257"/>
      <c r="G102" s="258"/>
      <c r="H102" s="259"/>
      <c r="I102" s="102"/>
      <c r="J102" s="127"/>
      <c r="K102" s="102"/>
      <c r="L102" s="161"/>
      <c r="M102" s="102"/>
      <c r="N102" s="102"/>
      <c r="O102" s="217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23"/>
      <c r="BW102" s="129"/>
      <c r="BX102" s="130"/>
      <c r="BY102" s="113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5"/>
      <c r="CK102" s="6" t="b">
        <f t="shared" si="14"/>
        <v>0</v>
      </c>
      <c r="CL102" s="24" t="str">
        <f t="shared" ca="1" si="13"/>
        <v/>
      </c>
      <c r="CM102" s="35">
        <f>IF(COUNTIF($B$15:B102,B102)=1,1,0)</f>
        <v>0</v>
      </c>
      <c r="CN102" s="35">
        <f>SUM($CM$15:CM102)</f>
        <v>1</v>
      </c>
      <c r="CO102" s="24"/>
      <c r="CP102" s="24"/>
    </row>
    <row r="103" spans="1:94" x14ac:dyDescent="0.15">
      <c r="A103" s="86" t="str">
        <f t="shared" si="15"/>
        <v/>
      </c>
      <c r="B103" s="232"/>
      <c r="C103" s="233"/>
      <c r="D103" s="232"/>
      <c r="E103" s="233"/>
      <c r="F103" s="257"/>
      <c r="G103" s="258"/>
      <c r="H103" s="259"/>
      <c r="I103" s="102"/>
      <c r="J103" s="127"/>
      <c r="K103" s="102"/>
      <c r="L103" s="161"/>
      <c r="M103" s="102"/>
      <c r="N103" s="102"/>
      <c r="O103" s="217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23"/>
      <c r="BW103" s="129"/>
      <c r="BX103" s="130"/>
      <c r="BY103" s="113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5"/>
      <c r="CK103" s="6" t="b">
        <f t="shared" si="14"/>
        <v>0</v>
      </c>
      <c r="CL103" s="24" t="str">
        <f t="shared" ca="1" si="13"/>
        <v/>
      </c>
      <c r="CM103" s="35">
        <f>IF(COUNTIF($B$15:B103,B103)=1,1,0)</f>
        <v>0</v>
      </c>
      <c r="CN103" s="35">
        <f>SUM($CM$15:CM103)</f>
        <v>1</v>
      </c>
      <c r="CO103" s="24"/>
      <c r="CP103" s="24"/>
    </row>
    <row r="104" spans="1:94" x14ac:dyDescent="0.15">
      <c r="A104" s="86" t="str">
        <f t="shared" si="15"/>
        <v/>
      </c>
      <c r="B104" s="232"/>
      <c r="C104" s="233"/>
      <c r="D104" s="232"/>
      <c r="E104" s="233"/>
      <c r="F104" s="257"/>
      <c r="G104" s="258"/>
      <c r="H104" s="259"/>
      <c r="I104" s="102"/>
      <c r="J104" s="127"/>
      <c r="K104" s="102"/>
      <c r="L104" s="161"/>
      <c r="M104" s="102"/>
      <c r="N104" s="102"/>
      <c r="O104" s="217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23"/>
      <c r="BW104" s="129"/>
      <c r="BX104" s="130"/>
      <c r="BY104" s="113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5"/>
      <c r="CK104" s="6" t="b">
        <f t="shared" si="14"/>
        <v>0</v>
      </c>
      <c r="CL104" s="24" t="str">
        <f t="shared" ca="1" si="13"/>
        <v/>
      </c>
      <c r="CM104" s="35">
        <f>IF(COUNTIF($B$15:B104,B104)=1,1,0)</f>
        <v>0</v>
      </c>
      <c r="CN104" s="35">
        <f>SUM($CM$15:CM104)</f>
        <v>1</v>
      </c>
      <c r="CO104" s="24"/>
      <c r="CP104" s="24"/>
    </row>
    <row r="105" spans="1:94" x14ac:dyDescent="0.15">
      <c r="A105" s="86" t="str">
        <f t="shared" si="15"/>
        <v/>
      </c>
      <c r="B105" s="232"/>
      <c r="C105" s="233"/>
      <c r="D105" s="232"/>
      <c r="E105" s="233"/>
      <c r="F105" s="257"/>
      <c r="G105" s="258"/>
      <c r="H105" s="259"/>
      <c r="I105" s="102"/>
      <c r="J105" s="127"/>
      <c r="K105" s="102"/>
      <c r="L105" s="161"/>
      <c r="M105" s="102"/>
      <c r="N105" s="102"/>
      <c r="O105" s="217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23"/>
      <c r="BW105" s="129"/>
      <c r="BX105" s="130"/>
      <c r="BY105" s="113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5"/>
      <c r="CK105" s="6" t="b">
        <f t="shared" si="14"/>
        <v>0</v>
      </c>
      <c r="CL105" s="24" t="str">
        <f t="shared" ca="1" si="13"/>
        <v/>
      </c>
      <c r="CM105" s="35">
        <f>IF(COUNTIF($B$15:B105,B105)=1,1,0)</f>
        <v>0</v>
      </c>
      <c r="CN105" s="35">
        <f>SUM($CM$15:CM105)</f>
        <v>1</v>
      </c>
      <c r="CO105" s="24"/>
      <c r="CP105" s="24"/>
    </row>
    <row r="106" spans="1:94" x14ac:dyDescent="0.15">
      <c r="A106" s="86" t="str">
        <f t="shared" si="15"/>
        <v/>
      </c>
      <c r="B106" s="232"/>
      <c r="C106" s="233"/>
      <c r="D106" s="232"/>
      <c r="E106" s="233"/>
      <c r="F106" s="257"/>
      <c r="G106" s="258"/>
      <c r="H106" s="259"/>
      <c r="I106" s="102"/>
      <c r="J106" s="127"/>
      <c r="K106" s="102"/>
      <c r="L106" s="161"/>
      <c r="M106" s="102"/>
      <c r="N106" s="102"/>
      <c r="O106" s="217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23"/>
      <c r="BW106" s="129"/>
      <c r="BX106" s="130"/>
      <c r="BY106" s="113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5"/>
      <c r="CK106" s="6" t="b">
        <f t="shared" si="14"/>
        <v>0</v>
      </c>
      <c r="CL106" s="24" t="str">
        <f t="shared" ca="1" si="13"/>
        <v/>
      </c>
      <c r="CM106" s="35">
        <f>IF(COUNTIF($B$15:B106,B106)=1,1,0)</f>
        <v>0</v>
      </c>
      <c r="CN106" s="35">
        <f>SUM($CM$15:CM106)</f>
        <v>1</v>
      </c>
      <c r="CO106" s="24"/>
      <c r="CP106" s="24"/>
    </row>
    <row r="107" spans="1:94" x14ac:dyDescent="0.15">
      <c r="A107" s="86" t="str">
        <f t="shared" si="15"/>
        <v/>
      </c>
      <c r="B107" s="232"/>
      <c r="C107" s="233"/>
      <c r="D107" s="232"/>
      <c r="E107" s="233"/>
      <c r="F107" s="257"/>
      <c r="G107" s="258"/>
      <c r="H107" s="259"/>
      <c r="I107" s="102"/>
      <c r="J107" s="127"/>
      <c r="K107" s="102"/>
      <c r="L107" s="161"/>
      <c r="M107" s="102"/>
      <c r="N107" s="102"/>
      <c r="O107" s="217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23"/>
      <c r="BW107" s="129"/>
      <c r="BX107" s="130"/>
      <c r="BY107" s="113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5"/>
      <c r="CK107" s="6" t="b">
        <f t="shared" si="14"/>
        <v>0</v>
      </c>
      <c r="CL107" s="24" t="str">
        <f t="shared" ca="1" si="13"/>
        <v/>
      </c>
      <c r="CM107" s="35">
        <f>IF(COUNTIF($B$15:B107,B107)=1,1,0)</f>
        <v>0</v>
      </c>
      <c r="CN107" s="35">
        <f>SUM($CM$15:CM107)</f>
        <v>1</v>
      </c>
      <c r="CO107" s="24"/>
      <c r="CP107" s="24"/>
    </row>
    <row r="108" spans="1:94" x14ac:dyDescent="0.15">
      <c r="A108" s="86" t="str">
        <f t="shared" si="15"/>
        <v/>
      </c>
      <c r="B108" s="232"/>
      <c r="C108" s="233"/>
      <c r="D108" s="232"/>
      <c r="E108" s="233"/>
      <c r="F108" s="257"/>
      <c r="G108" s="258"/>
      <c r="H108" s="259"/>
      <c r="I108" s="102"/>
      <c r="J108" s="127"/>
      <c r="K108" s="102"/>
      <c r="L108" s="161"/>
      <c r="M108" s="102"/>
      <c r="N108" s="102"/>
      <c r="O108" s="217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23"/>
      <c r="BW108" s="129"/>
      <c r="BX108" s="130"/>
      <c r="BY108" s="113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5"/>
      <c r="CK108" s="6" t="b">
        <f t="shared" si="14"/>
        <v>0</v>
      </c>
      <c r="CL108" s="24" t="str">
        <f t="shared" ca="1" si="13"/>
        <v/>
      </c>
      <c r="CM108" s="35">
        <f>IF(COUNTIF($B$15:B108,B108)=1,1,0)</f>
        <v>0</v>
      </c>
      <c r="CN108" s="35">
        <f>SUM($CM$15:CM108)</f>
        <v>1</v>
      </c>
      <c r="CO108" s="24"/>
      <c r="CP108" s="24"/>
    </row>
    <row r="109" spans="1:94" x14ac:dyDescent="0.15">
      <c r="A109" s="86" t="str">
        <f t="shared" si="15"/>
        <v/>
      </c>
      <c r="B109" s="232"/>
      <c r="C109" s="233"/>
      <c r="D109" s="132"/>
      <c r="E109" s="133"/>
      <c r="F109" s="257"/>
      <c r="G109" s="258"/>
      <c r="H109" s="259"/>
      <c r="I109" s="100"/>
      <c r="J109" s="134"/>
      <c r="K109" s="100"/>
      <c r="L109" s="117"/>
      <c r="M109" s="100"/>
      <c r="N109" s="100"/>
      <c r="O109" s="218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24"/>
      <c r="BW109" s="136"/>
      <c r="BX109" s="137"/>
      <c r="BY109" s="124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6"/>
      <c r="CK109" s="6" t="b">
        <f t="shared" si="14"/>
        <v>0</v>
      </c>
      <c r="CL109" s="24" t="str">
        <f t="shared" ca="1" si="13"/>
        <v/>
      </c>
      <c r="CM109" s="35">
        <f>IF(COUNTIF($B$15:B109,B109)=1,1,0)</f>
        <v>0</v>
      </c>
      <c r="CN109" s="35">
        <f>SUM($CM$15:CM109)</f>
        <v>1</v>
      </c>
      <c r="CO109" s="24"/>
      <c r="CP109" s="24"/>
    </row>
    <row r="110" spans="1:94" x14ac:dyDescent="0.15">
      <c r="A110" s="86" t="str">
        <f t="shared" si="15"/>
        <v/>
      </c>
      <c r="B110" s="232"/>
      <c r="C110" s="233"/>
      <c r="D110" s="132"/>
      <c r="E110" s="133"/>
      <c r="F110" s="257"/>
      <c r="G110" s="258"/>
      <c r="H110" s="259"/>
      <c r="I110" s="100"/>
      <c r="J110" s="134"/>
      <c r="K110" s="100"/>
      <c r="L110" s="117"/>
      <c r="M110" s="100"/>
      <c r="N110" s="100"/>
      <c r="O110" s="218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24"/>
      <c r="BW110" s="136"/>
      <c r="BX110" s="137"/>
      <c r="BY110" s="124"/>
      <c r="BZ110" s="125"/>
      <c r="CA110" s="125"/>
      <c r="CB110" s="125"/>
      <c r="CC110" s="125"/>
      <c r="CD110" s="125"/>
      <c r="CE110" s="125"/>
      <c r="CF110" s="125"/>
      <c r="CG110" s="125"/>
      <c r="CH110" s="125"/>
      <c r="CI110" s="125"/>
      <c r="CJ110" s="126"/>
      <c r="CK110" s="6" t="b">
        <f t="shared" si="14"/>
        <v>0</v>
      </c>
      <c r="CL110" s="24" t="str">
        <f t="shared" ca="1" si="13"/>
        <v/>
      </c>
      <c r="CM110" s="35">
        <f>IF(COUNTIF($B$15:B110,B110)=1,1,0)</f>
        <v>0</v>
      </c>
      <c r="CN110" s="35">
        <f>SUM($CM$15:CM110)</f>
        <v>1</v>
      </c>
      <c r="CO110" s="24"/>
      <c r="CP110" s="24"/>
    </row>
    <row r="111" spans="1:94" x14ac:dyDescent="0.15">
      <c r="A111" s="86" t="str">
        <f t="shared" si="15"/>
        <v/>
      </c>
      <c r="B111" s="232"/>
      <c r="C111" s="233"/>
      <c r="D111" s="132"/>
      <c r="E111" s="133"/>
      <c r="F111" s="257"/>
      <c r="G111" s="258"/>
      <c r="H111" s="259"/>
      <c r="I111" s="100"/>
      <c r="J111" s="134"/>
      <c r="K111" s="100"/>
      <c r="L111" s="117"/>
      <c r="M111" s="100"/>
      <c r="N111" s="100"/>
      <c r="O111" s="218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24"/>
      <c r="BW111" s="136"/>
      <c r="BX111" s="137"/>
      <c r="BY111" s="124"/>
      <c r="BZ111" s="125"/>
      <c r="CA111" s="125"/>
      <c r="CB111" s="125"/>
      <c r="CC111" s="125"/>
      <c r="CD111" s="125"/>
      <c r="CE111" s="125"/>
      <c r="CF111" s="125"/>
      <c r="CG111" s="125"/>
      <c r="CH111" s="125"/>
      <c r="CI111" s="125"/>
      <c r="CJ111" s="126"/>
      <c r="CK111" s="6" t="b">
        <f t="shared" si="14"/>
        <v>0</v>
      </c>
      <c r="CL111" s="24" t="str">
        <f t="shared" ca="1" si="13"/>
        <v/>
      </c>
      <c r="CM111" s="35">
        <f>IF(COUNTIF($B$15:B111,B111)=1,1,0)</f>
        <v>0</v>
      </c>
      <c r="CN111" s="35">
        <f>SUM($CM$15:CM111)</f>
        <v>1</v>
      </c>
      <c r="CO111" s="24"/>
      <c r="CP111" s="24"/>
    </row>
    <row r="112" spans="1:94" x14ac:dyDescent="0.15">
      <c r="A112" s="86" t="str">
        <f t="shared" si="15"/>
        <v/>
      </c>
      <c r="B112" s="232"/>
      <c r="C112" s="233"/>
      <c r="D112" s="132"/>
      <c r="E112" s="133"/>
      <c r="F112" s="257"/>
      <c r="G112" s="258"/>
      <c r="H112" s="259"/>
      <c r="I112" s="100"/>
      <c r="J112" s="134"/>
      <c r="K112" s="100"/>
      <c r="L112" s="117"/>
      <c r="M112" s="100"/>
      <c r="N112" s="100"/>
      <c r="O112" s="218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24"/>
      <c r="BW112" s="136"/>
      <c r="BX112" s="137"/>
      <c r="BY112" s="124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6"/>
      <c r="CK112" s="6" t="b">
        <f t="shared" si="14"/>
        <v>0</v>
      </c>
      <c r="CL112" s="24" t="str">
        <f t="shared" ca="1" si="13"/>
        <v/>
      </c>
      <c r="CM112" s="35">
        <f>IF(COUNTIF($B$15:B112,B112)=1,1,0)</f>
        <v>0</v>
      </c>
      <c r="CN112" s="35">
        <f>SUM($CM$15:CM112)</f>
        <v>1</v>
      </c>
      <c r="CO112" s="24"/>
      <c r="CP112" s="24"/>
    </row>
    <row r="113" spans="1:94" x14ac:dyDescent="0.15">
      <c r="A113" s="86" t="str">
        <f t="shared" si="15"/>
        <v/>
      </c>
      <c r="B113" s="232"/>
      <c r="C113" s="233"/>
      <c r="D113" s="132"/>
      <c r="E113" s="133"/>
      <c r="F113" s="257"/>
      <c r="G113" s="258"/>
      <c r="H113" s="259"/>
      <c r="I113" s="100"/>
      <c r="J113" s="134"/>
      <c r="K113" s="100"/>
      <c r="L113" s="117"/>
      <c r="M113" s="100"/>
      <c r="N113" s="100"/>
      <c r="O113" s="218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24"/>
      <c r="BW113" s="136"/>
      <c r="BX113" s="137"/>
      <c r="BY113" s="124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6"/>
      <c r="CK113" s="6" t="b">
        <f t="shared" si="14"/>
        <v>0</v>
      </c>
      <c r="CL113" s="24" t="str">
        <f t="shared" ca="1" si="13"/>
        <v/>
      </c>
      <c r="CM113" s="35">
        <f>IF(COUNTIF($B$15:B113,B113)=1,1,0)</f>
        <v>0</v>
      </c>
      <c r="CN113" s="35">
        <f>SUM($CM$15:CM113)</f>
        <v>1</v>
      </c>
      <c r="CO113" s="24"/>
      <c r="CP113" s="24"/>
    </row>
    <row r="114" spans="1:94" ht="14.25" thickBot="1" x14ac:dyDescent="0.2">
      <c r="A114" s="87" t="str">
        <f t="shared" si="15"/>
        <v/>
      </c>
      <c r="B114" s="227"/>
      <c r="C114" s="228"/>
      <c r="D114" s="227"/>
      <c r="E114" s="228"/>
      <c r="F114" s="260"/>
      <c r="G114" s="261"/>
      <c r="H114" s="262"/>
      <c r="I114" s="138"/>
      <c r="J114" s="139"/>
      <c r="K114" s="138"/>
      <c r="L114" s="163"/>
      <c r="M114" s="138"/>
      <c r="N114" s="138"/>
      <c r="O114" s="220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  <c r="BU114" s="221"/>
      <c r="BV114" s="225"/>
      <c r="BW114" s="142"/>
      <c r="BX114" s="143"/>
      <c r="BY114" s="144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6"/>
      <c r="CK114" s="6" t="b">
        <f t="shared" si="14"/>
        <v>0</v>
      </c>
      <c r="CL114" s="24" t="str">
        <f t="shared" ca="1" si="13"/>
        <v/>
      </c>
      <c r="CM114" s="35">
        <f>IF(COUNTIF($B$15:B114,B114)=1,1,0)</f>
        <v>0</v>
      </c>
      <c r="CN114" s="35">
        <f>SUM($CM$15:CM114)</f>
        <v>1</v>
      </c>
      <c r="CO114" s="24"/>
      <c r="CP114" s="24"/>
    </row>
  </sheetData>
  <mergeCells count="320">
    <mergeCell ref="B113:C113"/>
    <mergeCell ref="F113:H113"/>
    <mergeCell ref="B114:C114"/>
    <mergeCell ref="D114:E114"/>
    <mergeCell ref="F114:H114"/>
    <mergeCell ref="B110:C110"/>
    <mergeCell ref="F110:H110"/>
    <mergeCell ref="B111:C111"/>
    <mergeCell ref="F111:H111"/>
    <mergeCell ref="B112:C112"/>
    <mergeCell ref="F112:H112"/>
    <mergeCell ref="B108:C108"/>
    <mergeCell ref="D108:E108"/>
    <mergeCell ref="F108:H108"/>
    <mergeCell ref="B109:C109"/>
    <mergeCell ref="F109:H109"/>
    <mergeCell ref="B106:C106"/>
    <mergeCell ref="D106:E106"/>
    <mergeCell ref="F106:H106"/>
    <mergeCell ref="B107:C107"/>
    <mergeCell ref="D107:E107"/>
    <mergeCell ref="F107:H107"/>
    <mergeCell ref="B104:C104"/>
    <mergeCell ref="D104:E104"/>
    <mergeCell ref="F104:H104"/>
    <mergeCell ref="B105:C105"/>
    <mergeCell ref="D105:E105"/>
    <mergeCell ref="F105:H105"/>
    <mergeCell ref="B102:C102"/>
    <mergeCell ref="D102:E102"/>
    <mergeCell ref="F102:H102"/>
    <mergeCell ref="B103:C103"/>
    <mergeCell ref="D103:E103"/>
    <mergeCell ref="F103:H103"/>
    <mergeCell ref="B100:C100"/>
    <mergeCell ref="D100:E100"/>
    <mergeCell ref="F100:H100"/>
    <mergeCell ref="B101:C101"/>
    <mergeCell ref="D101:E101"/>
    <mergeCell ref="F101:H101"/>
    <mergeCell ref="B98:C98"/>
    <mergeCell ref="D98:E98"/>
    <mergeCell ref="F98:H98"/>
    <mergeCell ref="B99:C99"/>
    <mergeCell ref="D99:E99"/>
    <mergeCell ref="F99:H99"/>
    <mergeCell ref="B96:C96"/>
    <mergeCell ref="D96:E96"/>
    <mergeCell ref="F96:H96"/>
    <mergeCell ref="B97:C97"/>
    <mergeCell ref="D97:E97"/>
    <mergeCell ref="F97:H97"/>
    <mergeCell ref="B94:C94"/>
    <mergeCell ref="D94:E94"/>
    <mergeCell ref="F94:H94"/>
    <mergeCell ref="B95:C95"/>
    <mergeCell ref="D95:E95"/>
    <mergeCell ref="F95:H95"/>
    <mergeCell ref="B92:C92"/>
    <mergeCell ref="D92:E92"/>
    <mergeCell ref="F92:H92"/>
    <mergeCell ref="B93:C93"/>
    <mergeCell ref="D93:E93"/>
    <mergeCell ref="F93:H93"/>
    <mergeCell ref="B90:C90"/>
    <mergeCell ref="D90:E90"/>
    <mergeCell ref="F90:H90"/>
    <mergeCell ref="B91:C91"/>
    <mergeCell ref="D91:E91"/>
    <mergeCell ref="F91:H91"/>
    <mergeCell ref="B88:C88"/>
    <mergeCell ref="D88:E88"/>
    <mergeCell ref="F88:H88"/>
    <mergeCell ref="B89:C89"/>
    <mergeCell ref="D89:E89"/>
    <mergeCell ref="F89:H89"/>
    <mergeCell ref="B86:C86"/>
    <mergeCell ref="D86:E86"/>
    <mergeCell ref="F86:H86"/>
    <mergeCell ref="B87:C87"/>
    <mergeCell ref="D87:E87"/>
    <mergeCell ref="F87:H87"/>
    <mergeCell ref="B84:C84"/>
    <mergeCell ref="D84:E84"/>
    <mergeCell ref="F84:H84"/>
    <mergeCell ref="B85:C85"/>
    <mergeCell ref="D85:E85"/>
    <mergeCell ref="F85:H85"/>
    <mergeCell ref="B82:C82"/>
    <mergeCell ref="D82:E82"/>
    <mergeCell ref="F82:H82"/>
    <mergeCell ref="B83:C83"/>
    <mergeCell ref="D83:E83"/>
    <mergeCell ref="F83:H83"/>
    <mergeCell ref="B80:C80"/>
    <mergeCell ref="D80:E80"/>
    <mergeCell ref="F80:H80"/>
    <mergeCell ref="B81:C81"/>
    <mergeCell ref="D81:E81"/>
    <mergeCell ref="F81:H81"/>
    <mergeCell ref="B78:C78"/>
    <mergeCell ref="D78:E78"/>
    <mergeCell ref="F78:H78"/>
    <mergeCell ref="B79:C79"/>
    <mergeCell ref="D79:E79"/>
    <mergeCell ref="F79:H79"/>
    <mergeCell ref="B76:C76"/>
    <mergeCell ref="D76:E76"/>
    <mergeCell ref="F76:H76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2:C72"/>
    <mergeCell ref="D72:E72"/>
    <mergeCell ref="F72:H72"/>
    <mergeCell ref="B73:C73"/>
    <mergeCell ref="D73:E73"/>
    <mergeCell ref="F73:H73"/>
    <mergeCell ref="B70:C70"/>
    <mergeCell ref="D70:E70"/>
    <mergeCell ref="F70:H70"/>
    <mergeCell ref="B71:C71"/>
    <mergeCell ref="D71:E71"/>
    <mergeCell ref="F71:H71"/>
    <mergeCell ref="B68:C68"/>
    <mergeCell ref="D68:E68"/>
    <mergeCell ref="F68:H68"/>
    <mergeCell ref="B69:C69"/>
    <mergeCell ref="D69:E69"/>
    <mergeCell ref="F69:H69"/>
    <mergeCell ref="B66:C66"/>
    <mergeCell ref="D66:E66"/>
    <mergeCell ref="F66:H66"/>
    <mergeCell ref="B67:C67"/>
    <mergeCell ref="D67:E67"/>
    <mergeCell ref="F67:H67"/>
    <mergeCell ref="B64:C64"/>
    <mergeCell ref="D64:E64"/>
    <mergeCell ref="F64:H64"/>
    <mergeCell ref="B65:C65"/>
    <mergeCell ref="D65:E65"/>
    <mergeCell ref="F65:H65"/>
    <mergeCell ref="B62:C62"/>
    <mergeCell ref="D62:E62"/>
    <mergeCell ref="F62:H62"/>
    <mergeCell ref="B63:C63"/>
    <mergeCell ref="D63:E63"/>
    <mergeCell ref="F63:H63"/>
    <mergeCell ref="B60:C60"/>
    <mergeCell ref="D60:E60"/>
    <mergeCell ref="F60:H60"/>
    <mergeCell ref="B61:C61"/>
    <mergeCell ref="D61:E61"/>
    <mergeCell ref="F61:H61"/>
    <mergeCell ref="B58:C58"/>
    <mergeCell ref="D58:E58"/>
    <mergeCell ref="F58:H58"/>
    <mergeCell ref="B59:C59"/>
    <mergeCell ref="D59:E59"/>
    <mergeCell ref="F59:H59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F55:H55"/>
    <mergeCell ref="B52:C52"/>
    <mergeCell ref="D52:E52"/>
    <mergeCell ref="F52:H52"/>
    <mergeCell ref="B53:C53"/>
    <mergeCell ref="D53:E53"/>
    <mergeCell ref="F53:H53"/>
    <mergeCell ref="B50:C50"/>
    <mergeCell ref="D50:E50"/>
    <mergeCell ref="F50:H50"/>
    <mergeCell ref="B51:C51"/>
    <mergeCell ref="D51:E51"/>
    <mergeCell ref="F51:H51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D47:E47"/>
    <mergeCell ref="F47:H47"/>
    <mergeCell ref="B44:C44"/>
    <mergeCell ref="D44:E44"/>
    <mergeCell ref="F44:H44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B40:C40"/>
    <mergeCell ref="D40:E40"/>
    <mergeCell ref="F40:H40"/>
    <mergeCell ref="B41:C41"/>
    <mergeCell ref="D41:E41"/>
    <mergeCell ref="F41:H41"/>
    <mergeCell ref="B38:C38"/>
    <mergeCell ref="D38:E38"/>
    <mergeCell ref="F38:H38"/>
    <mergeCell ref="B39:C39"/>
    <mergeCell ref="D39:E39"/>
    <mergeCell ref="F39:H39"/>
    <mergeCell ref="B36:C36"/>
    <mergeCell ref="D36:E36"/>
    <mergeCell ref="F36:H36"/>
    <mergeCell ref="B37:C37"/>
    <mergeCell ref="D37:E37"/>
    <mergeCell ref="F37:H37"/>
    <mergeCell ref="B34:C34"/>
    <mergeCell ref="D34:E34"/>
    <mergeCell ref="F34:H34"/>
    <mergeCell ref="B35:C35"/>
    <mergeCell ref="D35:E35"/>
    <mergeCell ref="F35:H35"/>
    <mergeCell ref="B32:C32"/>
    <mergeCell ref="D32:E32"/>
    <mergeCell ref="F32:H32"/>
    <mergeCell ref="B33:C33"/>
    <mergeCell ref="D33:E33"/>
    <mergeCell ref="F33:H33"/>
    <mergeCell ref="B30:C30"/>
    <mergeCell ref="D30:E30"/>
    <mergeCell ref="F30:H30"/>
    <mergeCell ref="B31:C31"/>
    <mergeCell ref="D31:E31"/>
    <mergeCell ref="F31:H31"/>
    <mergeCell ref="B28:C28"/>
    <mergeCell ref="D28:E28"/>
    <mergeCell ref="F28:H28"/>
    <mergeCell ref="B29:C29"/>
    <mergeCell ref="D29:E29"/>
    <mergeCell ref="F29:H29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BY12:CJ14"/>
    <mergeCell ref="K13:K14"/>
    <mergeCell ref="L13:L14"/>
    <mergeCell ref="A12:A14"/>
    <mergeCell ref="B12:C14"/>
    <mergeCell ref="D12:E14"/>
    <mergeCell ref="F12:H14"/>
    <mergeCell ref="I12:I14"/>
    <mergeCell ref="CM14:CN14"/>
    <mergeCell ref="B15:C15"/>
    <mergeCell ref="D15:E15"/>
    <mergeCell ref="F15:H15"/>
    <mergeCell ref="J12:J14"/>
    <mergeCell ref="K12:L12"/>
    <mergeCell ref="N12:N14"/>
    <mergeCell ref="BW12:BW14"/>
    <mergeCell ref="BX12:BX14"/>
    <mergeCell ref="M12:M14"/>
    <mergeCell ref="A4:B4"/>
    <mergeCell ref="C4:G4"/>
    <mergeCell ref="A5:B5"/>
    <mergeCell ref="C5:G5"/>
    <mergeCell ref="BY5:CB5"/>
    <mergeCell ref="CC5:CH5"/>
    <mergeCell ref="CI5:CJ5"/>
    <mergeCell ref="A6:B6"/>
    <mergeCell ref="A7:C7"/>
    <mergeCell ref="D7:G7"/>
  </mergeCells>
  <phoneticPr fontId="1"/>
  <conditionalFormatting sqref="L15:L114">
    <cfRule type="expression" dxfId="13" priority="10" stopIfTrue="1">
      <formula>$K15="未実施"</formula>
    </cfRule>
  </conditionalFormatting>
  <conditionalFormatting sqref="P12:BV12">
    <cfRule type="expression" dxfId="12" priority="5" stopIfTrue="1">
      <formula>P$12&lt;&gt;""</formula>
    </cfRule>
  </conditionalFormatting>
  <conditionalFormatting sqref="CT14:CV25">
    <cfRule type="expression" dxfId="11" priority="4">
      <formula>$CU$14&lt;&gt;""</formula>
    </cfRule>
  </conditionalFormatting>
  <conditionalFormatting sqref="CX14:CZ15">
    <cfRule type="expression" dxfId="10" priority="3">
      <formula>$CY$14&lt;&gt;""</formula>
    </cfRule>
  </conditionalFormatting>
  <conditionalFormatting sqref="CT28:CV39">
    <cfRule type="expression" dxfId="9" priority="2">
      <formula>$CU$28&lt;&gt;""</formula>
    </cfRule>
  </conditionalFormatting>
  <conditionalFormatting sqref="CX28:CZ29">
    <cfRule type="expression" dxfId="8" priority="1">
      <formula>$CY$28&lt;&gt;""</formula>
    </cfRule>
  </conditionalFormatting>
  <conditionalFormatting sqref="O15:BV114">
    <cfRule type="expression" dxfId="7" priority="37" stopIfTrue="1">
      <formula>$CC$5=O$11</formula>
    </cfRule>
  </conditionalFormatting>
  <dataValidations count="3">
    <dataValidation type="list" allowBlank="1" showInputMessage="1" showErrorMessage="1" sqref="O15:BV114">
      <formula1>"○"</formula1>
    </dataValidation>
    <dataValidation type="list" allowBlank="1" showInputMessage="1" showErrorMessage="1" sqref="K15:K114">
      <formula1>"陽性,陰性,未実施"</formula1>
    </dataValidation>
    <dataValidation type="list" allowBlank="1" showInputMessage="1" showErrorMessage="1" sqref="I15:I114">
      <formula1>"男,女"</formula1>
    </dataValidation>
  </dataValidations>
  <hyperlinks>
    <hyperlink ref="K6" location="'入力方法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92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Sheet2!$A$2:$A$5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19"/>
  <sheetViews>
    <sheetView view="pageBreakPreview" zoomScaleNormal="100" zoomScaleSheetLayoutView="100" zoomScalePageLayoutView="110" workbookViewId="0">
      <selection activeCell="L16" sqref="L16"/>
    </sheetView>
  </sheetViews>
  <sheetFormatPr defaultRowHeight="13.5" x14ac:dyDescent="0.15"/>
  <cols>
    <col min="1" max="1" width="3" style="1" customWidth="1"/>
    <col min="2" max="3" width="6.875" style="1" customWidth="1"/>
    <col min="4" max="4" width="3.125" style="1" customWidth="1"/>
    <col min="5" max="5" width="11.125" style="1" customWidth="1"/>
    <col min="6" max="6" width="7.25" style="1" customWidth="1"/>
    <col min="7" max="7" width="3.125" style="1" customWidth="1"/>
    <col min="8" max="8" width="4.5" style="1" customWidth="1"/>
    <col min="9" max="9" width="3.375" style="1" customWidth="1"/>
    <col min="10" max="10" width="4.5" style="1" customWidth="1"/>
    <col min="11" max="11" width="6.875" style="1" customWidth="1"/>
    <col min="12" max="12" width="9" style="1" bestFit="1" customWidth="1"/>
    <col min="13" max="13" width="9" style="1" customWidth="1"/>
    <col min="14" max="14" width="10.5" style="1" customWidth="1"/>
    <col min="15" max="44" width="2.625" style="1" customWidth="1"/>
    <col min="45" max="72" width="2.625" style="1" hidden="1" customWidth="1"/>
    <col min="73" max="74" width="3.375" style="1" hidden="1" customWidth="1"/>
    <col min="75" max="85" width="3.375" style="1" customWidth="1"/>
    <col min="86" max="86" width="3.375" style="20" customWidth="1"/>
    <col min="87" max="87" width="9" style="1" hidden="1" customWidth="1"/>
    <col min="88" max="88" width="17.25" style="1" hidden="1" customWidth="1"/>
    <col min="89" max="90" width="9" style="1" hidden="1" customWidth="1"/>
    <col min="91" max="91" width="2.625" style="166" customWidth="1"/>
    <col min="92" max="92" width="17" style="166" customWidth="1"/>
    <col min="93" max="94" width="9" style="166" customWidth="1"/>
    <col min="95" max="95" width="3.625" style="166" customWidth="1"/>
    <col min="96" max="96" width="17" style="166" customWidth="1"/>
    <col min="97" max="98" width="9" style="166" customWidth="1"/>
    <col min="99" max="99" width="1.5" style="166" customWidth="1"/>
    <col min="100" max="16384" width="9" style="1"/>
  </cols>
  <sheetData>
    <row r="1" spans="1:99" s="166" customFormat="1" ht="19.5" customHeight="1" x14ac:dyDescent="0.15">
      <c r="A1" s="168" t="s">
        <v>83</v>
      </c>
      <c r="H1" s="177"/>
      <c r="I1" s="177"/>
      <c r="J1" s="177"/>
      <c r="K1" s="177"/>
      <c r="S1" s="174" t="s">
        <v>28</v>
      </c>
      <c r="BX1" s="175"/>
      <c r="BY1" s="176"/>
      <c r="BZ1" s="176"/>
      <c r="CA1" s="176"/>
      <c r="CB1" s="176"/>
      <c r="CC1" s="176"/>
      <c r="CD1" s="176"/>
      <c r="CE1" s="176"/>
      <c r="CH1" s="205"/>
    </row>
    <row r="2" spans="1:99" s="166" customFormat="1" ht="18.75" customHeight="1" thickBot="1" x14ac:dyDescent="0.2">
      <c r="A2" s="297" t="s">
        <v>13</v>
      </c>
      <c r="B2" s="297"/>
      <c r="C2" s="306" t="s">
        <v>58</v>
      </c>
      <c r="D2" s="306"/>
      <c r="E2" s="306"/>
      <c r="F2" s="306"/>
      <c r="G2" s="306"/>
      <c r="H2" s="165"/>
      <c r="I2" s="165" t="s">
        <v>79</v>
      </c>
      <c r="K2" s="165"/>
      <c r="L2" s="167"/>
      <c r="M2" s="165"/>
      <c r="N2" s="167"/>
      <c r="O2" s="181"/>
      <c r="Q2" s="181"/>
      <c r="R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X2" s="176"/>
      <c r="BY2" s="176"/>
      <c r="BZ2" s="176"/>
      <c r="CA2" s="176"/>
      <c r="CB2" s="176"/>
      <c r="CC2" s="176"/>
      <c r="CD2" s="176"/>
      <c r="CE2" s="176"/>
      <c r="CH2" s="205"/>
    </row>
    <row r="3" spans="1:99" s="166" customFormat="1" ht="18.75" customHeight="1" thickBot="1" x14ac:dyDescent="0.2">
      <c r="A3" s="298" t="s">
        <v>74</v>
      </c>
      <c r="B3" s="298"/>
      <c r="C3" s="307" t="str">
        <f>'入力方法（入院患者）'!C5</f>
        <v>新型コロナウイルス感染症</v>
      </c>
      <c r="D3" s="307"/>
      <c r="E3" s="307"/>
      <c r="F3" s="307"/>
      <c r="G3" s="307"/>
      <c r="H3" s="169"/>
      <c r="I3" s="168" t="s">
        <v>80</v>
      </c>
      <c r="N3" s="167"/>
      <c r="O3" s="183"/>
      <c r="P3" s="183"/>
      <c r="Q3" s="183"/>
      <c r="R3" s="183"/>
      <c r="S3" s="183"/>
      <c r="T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W3" s="300" t="s">
        <v>17</v>
      </c>
      <c r="BX3" s="300"/>
      <c r="BY3" s="300"/>
      <c r="BZ3" s="300"/>
      <c r="CA3" s="301">
        <f>'入力方法（入院患者）'!CC5</f>
        <v>45395</v>
      </c>
      <c r="CB3" s="301"/>
      <c r="CC3" s="301"/>
      <c r="CD3" s="301"/>
      <c r="CE3" s="301"/>
      <c r="CF3" s="301"/>
      <c r="CG3" s="299" t="s">
        <v>18</v>
      </c>
      <c r="CH3" s="299"/>
    </row>
    <row r="4" spans="1:99" s="177" customFormat="1" ht="18.75" customHeight="1" thickBot="1" x14ac:dyDescent="0.2">
      <c r="A4" s="298" t="s">
        <v>62</v>
      </c>
      <c r="B4" s="298"/>
      <c r="C4" s="206" t="s">
        <v>59</v>
      </c>
      <c r="D4" s="187" t="s">
        <v>53</v>
      </c>
      <c r="E4" s="188" t="s">
        <v>32</v>
      </c>
      <c r="F4" s="207" t="s">
        <v>59</v>
      </c>
      <c r="G4" s="208" t="s">
        <v>53</v>
      </c>
      <c r="H4" s="189"/>
      <c r="I4" s="165" t="s">
        <v>76</v>
      </c>
      <c r="J4" s="169"/>
      <c r="K4" s="170" t="s">
        <v>77</v>
      </c>
      <c r="L4" s="171" t="s">
        <v>78</v>
      </c>
      <c r="M4" s="169"/>
      <c r="N4" s="172"/>
      <c r="O4" s="183"/>
      <c r="P4" s="183"/>
      <c r="Q4" s="183"/>
      <c r="R4" s="183"/>
      <c r="S4" s="183"/>
      <c r="T4" s="183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CF4" s="183"/>
      <c r="CH4" s="178"/>
    </row>
    <row r="5" spans="1:99" s="177" customFormat="1" ht="18.75" customHeight="1" thickBot="1" x14ac:dyDescent="0.2">
      <c r="A5" s="298" t="s">
        <v>15</v>
      </c>
      <c r="B5" s="298"/>
      <c r="C5" s="298"/>
      <c r="D5" s="308">
        <v>45383</v>
      </c>
      <c r="E5" s="308"/>
      <c r="F5" s="308"/>
      <c r="G5" s="308"/>
      <c r="H5" s="209"/>
      <c r="I5" s="165" t="s">
        <v>81</v>
      </c>
      <c r="J5" s="165"/>
      <c r="K5" s="172"/>
      <c r="L5" s="172"/>
      <c r="M5" s="165"/>
      <c r="N5" s="173"/>
      <c r="O5" s="191" t="s">
        <v>72</v>
      </c>
      <c r="P5" s="183"/>
      <c r="Q5" s="183"/>
      <c r="R5" s="183"/>
      <c r="S5" s="183"/>
      <c r="T5" s="183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H5" s="178"/>
    </row>
    <row r="6" spans="1:99" s="166" customFormat="1" ht="18.75" customHeight="1" thickBot="1" x14ac:dyDescent="0.2">
      <c r="A6" s="193"/>
      <c r="B6" s="193"/>
      <c r="C6" s="193"/>
      <c r="D6" s="193"/>
      <c r="E6" s="193"/>
      <c r="F6" s="183"/>
      <c r="G6" s="183"/>
      <c r="H6" s="183"/>
      <c r="I6" s="183"/>
      <c r="J6" s="183"/>
      <c r="K6" s="183"/>
      <c r="L6" s="183"/>
      <c r="M6" s="183"/>
      <c r="N6" s="183"/>
      <c r="O6" s="194" t="s">
        <v>6</v>
      </c>
      <c r="Q6" s="183"/>
      <c r="R6" s="183"/>
      <c r="S6" s="183"/>
      <c r="T6" s="183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H6" s="205"/>
      <c r="CJ6" s="194"/>
      <c r="CK6" s="194"/>
      <c r="CL6" s="194"/>
    </row>
    <row r="7" spans="1:99" ht="15" hidden="1" thickBot="1" x14ac:dyDescent="0.2">
      <c r="A7" s="7"/>
      <c r="B7" s="40"/>
      <c r="C7" s="40"/>
      <c r="D7" s="40"/>
      <c r="E7" s="40"/>
      <c r="F7" s="7"/>
      <c r="G7" s="7"/>
      <c r="H7" s="7"/>
      <c r="I7" s="8"/>
      <c r="J7" s="8"/>
      <c r="K7" s="8"/>
      <c r="L7" s="8"/>
      <c r="M7" s="8"/>
      <c r="N7" s="8"/>
      <c r="O7" s="14">
        <f>YEAR($D$5)</f>
        <v>2024</v>
      </c>
      <c r="P7" s="14">
        <f>YEAR($D$5+1)</f>
        <v>2024</v>
      </c>
      <c r="Q7" s="14">
        <f>YEAR($D$5+2)</f>
        <v>2024</v>
      </c>
      <c r="R7" s="14">
        <f>YEAR($D$5+3)</f>
        <v>2024</v>
      </c>
      <c r="S7" s="14">
        <f>YEAR($D$5+4)</f>
        <v>2024</v>
      </c>
      <c r="T7" s="14">
        <f>YEAR($D$5+5)</f>
        <v>2024</v>
      </c>
      <c r="U7" s="14">
        <f>YEAR($D$5+6)</f>
        <v>2024</v>
      </c>
      <c r="V7" s="14">
        <f>YEAR($D$5+7)</f>
        <v>2024</v>
      </c>
      <c r="W7" s="14">
        <f>YEAR($D$5+8)</f>
        <v>2024</v>
      </c>
      <c r="X7" s="14">
        <f>YEAR($D$5+9)</f>
        <v>2024</v>
      </c>
      <c r="Y7" s="14">
        <f>YEAR($D$5+10)</f>
        <v>2024</v>
      </c>
      <c r="Z7" s="14">
        <f>YEAR($D$5+11)</f>
        <v>2024</v>
      </c>
      <c r="AA7" s="14">
        <f>YEAR($D$5+12)</f>
        <v>2024</v>
      </c>
      <c r="AB7" s="14">
        <f>YEAR($D$5+13)</f>
        <v>2024</v>
      </c>
      <c r="AC7" s="14">
        <f>YEAR($D$5+14)</f>
        <v>2024</v>
      </c>
      <c r="AD7" s="14">
        <f>YEAR($D$5+15)</f>
        <v>2024</v>
      </c>
      <c r="AE7" s="14">
        <f>YEAR($D$5+16)</f>
        <v>2024</v>
      </c>
      <c r="AF7" s="14">
        <f>YEAR($D$5+17)</f>
        <v>2024</v>
      </c>
      <c r="AG7" s="14">
        <f>YEAR($D$5+18)</f>
        <v>2024</v>
      </c>
      <c r="AH7" s="14">
        <f>YEAR($D$5+19)</f>
        <v>2024</v>
      </c>
      <c r="AI7" s="14">
        <f>YEAR($D$5+20)</f>
        <v>2024</v>
      </c>
      <c r="AJ7" s="14">
        <f>YEAR($D$5+21)</f>
        <v>2024</v>
      </c>
      <c r="AK7" s="14">
        <f>YEAR($D$5+22)</f>
        <v>2024</v>
      </c>
      <c r="AL7" s="14">
        <f>YEAR($D$5+23)</f>
        <v>2024</v>
      </c>
      <c r="AM7" s="14">
        <f>YEAR($D$5+24)</f>
        <v>2024</v>
      </c>
      <c r="AN7" s="14">
        <f>YEAR($D$5+25)</f>
        <v>2024</v>
      </c>
      <c r="AO7" s="14">
        <f>YEAR($D$5+26)</f>
        <v>2024</v>
      </c>
      <c r="AP7" s="14">
        <f>YEAR($D$5+27)</f>
        <v>2024</v>
      </c>
      <c r="AQ7" s="14">
        <f>YEAR($D$5+28)</f>
        <v>2024</v>
      </c>
      <c r="AR7" s="14">
        <f t="shared" ref="AR7:BV7" si="0">YEAR($D$5+29)</f>
        <v>2024</v>
      </c>
      <c r="AS7" s="14">
        <f t="shared" si="0"/>
        <v>2024</v>
      </c>
      <c r="AT7" s="14">
        <f t="shared" si="0"/>
        <v>2024</v>
      </c>
      <c r="AU7" s="14">
        <f t="shared" si="0"/>
        <v>2024</v>
      </c>
      <c r="AV7" s="14">
        <f t="shared" si="0"/>
        <v>2024</v>
      </c>
      <c r="AW7" s="14">
        <f t="shared" si="0"/>
        <v>2024</v>
      </c>
      <c r="AX7" s="14">
        <f t="shared" si="0"/>
        <v>2024</v>
      </c>
      <c r="AY7" s="14">
        <f t="shared" si="0"/>
        <v>2024</v>
      </c>
      <c r="AZ7" s="14">
        <f t="shared" si="0"/>
        <v>2024</v>
      </c>
      <c r="BA7" s="14">
        <f t="shared" si="0"/>
        <v>2024</v>
      </c>
      <c r="BB7" s="14">
        <f t="shared" si="0"/>
        <v>2024</v>
      </c>
      <c r="BC7" s="14">
        <f t="shared" si="0"/>
        <v>2024</v>
      </c>
      <c r="BD7" s="14">
        <f t="shared" si="0"/>
        <v>2024</v>
      </c>
      <c r="BE7" s="14">
        <f t="shared" si="0"/>
        <v>2024</v>
      </c>
      <c r="BF7" s="14">
        <f t="shared" si="0"/>
        <v>2024</v>
      </c>
      <c r="BG7" s="14">
        <f t="shared" si="0"/>
        <v>2024</v>
      </c>
      <c r="BH7" s="14">
        <f t="shared" si="0"/>
        <v>2024</v>
      </c>
      <c r="BI7" s="14">
        <f t="shared" si="0"/>
        <v>2024</v>
      </c>
      <c r="BJ7" s="14">
        <f t="shared" si="0"/>
        <v>2024</v>
      </c>
      <c r="BK7" s="14">
        <f t="shared" si="0"/>
        <v>2024</v>
      </c>
      <c r="BL7" s="14">
        <f t="shared" si="0"/>
        <v>2024</v>
      </c>
      <c r="BM7" s="14">
        <f t="shared" si="0"/>
        <v>2024</v>
      </c>
      <c r="BN7" s="14">
        <f t="shared" si="0"/>
        <v>2024</v>
      </c>
      <c r="BO7" s="14">
        <f t="shared" si="0"/>
        <v>2024</v>
      </c>
      <c r="BP7" s="14">
        <f t="shared" si="0"/>
        <v>2024</v>
      </c>
      <c r="BQ7" s="14">
        <f t="shared" si="0"/>
        <v>2024</v>
      </c>
      <c r="BR7" s="14">
        <f t="shared" si="0"/>
        <v>2024</v>
      </c>
      <c r="BS7" s="14">
        <f t="shared" si="0"/>
        <v>2024</v>
      </c>
      <c r="BT7" s="14">
        <f t="shared" si="0"/>
        <v>2024</v>
      </c>
      <c r="BU7" s="14">
        <f t="shared" si="0"/>
        <v>2024</v>
      </c>
      <c r="BV7" s="14">
        <f t="shared" si="0"/>
        <v>2024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20"/>
      <c r="CL7" s="4"/>
    </row>
    <row r="8" spans="1:99" ht="15" hidden="1" thickBot="1" x14ac:dyDescent="0.2">
      <c r="A8" s="7"/>
      <c r="B8" s="40"/>
      <c r="C8" s="40"/>
      <c r="D8" s="40"/>
      <c r="E8" s="40"/>
      <c r="F8" s="7"/>
      <c r="G8" s="7"/>
      <c r="H8" s="7"/>
      <c r="I8" s="8"/>
      <c r="J8" s="8"/>
      <c r="K8" s="8"/>
      <c r="L8" s="8"/>
      <c r="M8" s="8"/>
      <c r="N8" s="8"/>
      <c r="O8" s="11">
        <f>MONTH($D$5)</f>
        <v>4</v>
      </c>
      <c r="P8" s="11">
        <f>MONTH($D$5+1)</f>
        <v>4</v>
      </c>
      <c r="Q8" s="11">
        <f>MONTH($D$5+2)</f>
        <v>4</v>
      </c>
      <c r="R8" s="11">
        <f>MONTH($D$5+3)</f>
        <v>4</v>
      </c>
      <c r="S8" s="11">
        <f>MONTH($D$5+4)</f>
        <v>4</v>
      </c>
      <c r="T8" s="11">
        <f>MONTH($D$5+5)</f>
        <v>4</v>
      </c>
      <c r="U8" s="11">
        <f>MONTH($D$5+6)</f>
        <v>4</v>
      </c>
      <c r="V8" s="11">
        <f>MONTH($D$5+7)</f>
        <v>4</v>
      </c>
      <c r="W8" s="11">
        <f>MONTH($D$5+8)</f>
        <v>4</v>
      </c>
      <c r="X8" s="11">
        <f>MONTH($D$5+9)</f>
        <v>4</v>
      </c>
      <c r="Y8" s="11">
        <f>MONTH($D$5+10)</f>
        <v>4</v>
      </c>
      <c r="Z8" s="11">
        <f>MONTH($D$5+11)</f>
        <v>4</v>
      </c>
      <c r="AA8" s="11">
        <f>MONTH($D$5+12)</f>
        <v>4</v>
      </c>
      <c r="AB8" s="11">
        <f>MONTH($D$5+13)</f>
        <v>4</v>
      </c>
      <c r="AC8" s="11">
        <f>MONTH($D$5+14)</f>
        <v>4</v>
      </c>
      <c r="AD8" s="11">
        <f>MONTH($D$5+15)</f>
        <v>4</v>
      </c>
      <c r="AE8" s="11">
        <f>MONTH($D$5+16)</f>
        <v>4</v>
      </c>
      <c r="AF8" s="11">
        <f>MONTH($D$5+17)</f>
        <v>4</v>
      </c>
      <c r="AG8" s="11">
        <f>MONTH($D$5+18)</f>
        <v>4</v>
      </c>
      <c r="AH8" s="11">
        <f>MONTH($D$5+19)</f>
        <v>4</v>
      </c>
      <c r="AI8" s="11">
        <f>MONTH($D$5+20)</f>
        <v>4</v>
      </c>
      <c r="AJ8" s="11">
        <f>MONTH($D$5+21)</f>
        <v>4</v>
      </c>
      <c r="AK8" s="11">
        <f>MONTH($D$5+22)</f>
        <v>4</v>
      </c>
      <c r="AL8" s="11">
        <f>MONTH($D$5+23)</f>
        <v>4</v>
      </c>
      <c r="AM8" s="11">
        <f>MONTH($D$5+24)</f>
        <v>4</v>
      </c>
      <c r="AN8" s="11">
        <f>MONTH($D$5+25)</f>
        <v>4</v>
      </c>
      <c r="AO8" s="11">
        <f>MONTH($D$5+26)</f>
        <v>4</v>
      </c>
      <c r="AP8" s="11">
        <f>MONTH($D$5+27)</f>
        <v>4</v>
      </c>
      <c r="AQ8" s="11">
        <f>MONTH($D$5+28)</f>
        <v>4</v>
      </c>
      <c r="AR8" s="11">
        <f>MONTH($D$5+29)</f>
        <v>4</v>
      </c>
      <c r="AS8" s="11">
        <f>MONTH($D$5+30)</f>
        <v>5</v>
      </c>
      <c r="AT8" s="11">
        <f>MONTH($D$5+31)</f>
        <v>5</v>
      </c>
      <c r="AU8" s="11">
        <f>MONTH($D$5+32)</f>
        <v>5</v>
      </c>
      <c r="AV8" s="11">
        <f>MONTH($D$5+33)</f>
        <v>5</v>
      </c>
      <c r="AW8" s="11">
        <f>MONTH($D$5+34)</f>
        <v>5</v>
      </c>
      <c r="AX8" s="11">
        <f>MONTH($D$5+35)</f>
        <v>5</v>
      </c>
      <c r="AY8" s="11">
        <f>MONTH($D$5+36)</f>
        <v>5</v>
      </c>
      <c r="AZ8" s="11">
        <f>MONTH($D$5+37)</f>
        <v>5</v>
      </c>
      <c r="BA8" s="11">
        <f>MONTH($D$5+38)</f>
        <v>5</v>
      </c>
      <c r="BB8" s="11">
        <f>MONTH($D$5+39)</f>
        <v>5</v>
      </c>
      <c r="BC8" s="11">
        <f>MONTH($D$5+40)</f>
        <v>5</v>
      </c>
      <c r="BD8" s="11">
        <f>MONTH($D$5+41)</f>
        <v>5</v>
      </c>
      <c r="BE8" s="11">
        <f>MONTH($D$5+42)</f>
        <v>5</v>
      </c>
      <c r="BF8" s="11">
        <f>MONTH($D$5+43)</f>
        <v>5</v>
      </c>
      <c r="BG8" s="11">
        <f>MONTH($D$5+44)</f>
        <v>5</v>
      </c>
      <c r="BH8" s="11">
        <f>MONTH($D$5+45)</f>
        <v>5</v>
      </c>
      <c r="BI8" s="11">
        <f>MONTH($D$5+46)</f>
        <v>5</v>
      </c>
      <c r="BJ8" s="11">
        <f>MONTH($D$5+47)</f>
        <v>5</v>
      </c>
      <c r="BK8" s="11">
        <f>MONTH($D$5+48)</f>
        <v>5</v>
      </c>
      <c r="BL8" s="11">
        <f>MONTH($D$5+49)</f>
        <v>5</v>
      </c>
      <c r="BM8" s="11">
        <f>MONTH($D$5+50)</f>
        <v>5</v>
      </c>
      <c r="BN8" s="11">
        <f>MONTH($D$5+51)</f>
        <v>5</v>
      </c>
      <c r="BO8" s="11">
        <f>MONTH($D$5+52)</f>
        <v>5</v>
      </c>
      <c r="BP8" s="11">
        <f>MONTH($D$5+53)</f>
        <v>5</v>
      </c>
      <c r="BQ8" s="11">
        <f>MONTH($D$5+54)</f>
        <v>5</v>
      </c>
      <c r="BR8" s="11">
        <f>MONTH($D$5+55)</f>
        <v>5</v>
      </c>
      <c r="BS8" s="11">
        <f>MONTH($D$5+56)</f>
        <v>5</v>
      </c>
      <c r="BT8" s="11">
        <f>MONTH($D$5+57)</f>
        <v>5</v>
      </c>
      <c r="BU8" s="11">
        <f>MONTH($D$5+58)</f>
        <v>5</v>
      </c>
      <c r="BV8" s="11">
        <f>MONTH($D$5+59)</f>
        <v>5</v>
      </c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J8" s="20"/>
      <c r="CL8" s="4"/>
    </row>
    <row r="9" spans="1:99" ht="15" hidden="1" thickBot="1" x14ac:dyDescent="0.2">
      <c r="A9" s="7"/>
      <c r="B9" s="40"/>
      <c r="C9" s="40"/>
      <c r="D9" s="40"/>
      <c r="E9" s="40"/>
      <c r="F9" s="7"/>
      <c r="G9" s="7"/>
      <c r="H9" s="7"/>
      <c r="I9" s="8"/>
      <c r="J9" s="8"/>
      <c r="K9" s="8"/>
      <c r="L9" s="8"/>
      <c r="M9" s="8"/>
      <c r="N9" s="8"/>
      <c r="O9" s="15">
        <f>DATE(O7,O8,O11)</f>
        <v>45383</v>
      </c>
      <c r="P9" s="15">
        <f t="shared" ref="P9:BV9" si="1">DATE(P7,P8,P11)</f>
        <v>45384</v>
      </c>
      <c r="Q9" s="15">
        <f t="shared" si="1"/>
        <v>45385</v>
      </c>
      <c r="R9" s="15">
        <f t="shared" si="1"/>
        <v>45386</v>
      </c>
      <c r="S9" s="15">
        <f t="shared" si="1"/>
        <v>45387</v>
      </c>
      <c r="T9" s="15">
        <f t="shared" si="1"/>
        <v>45388</v>
      </c>
      <c r="U9" s="15">
        <f t="shared" si="1"/>
        <v>45389</v>
      </c>
      <c r="V9" s="15">
        <f t="shared" si="1"/>
        <v>45390</v>
      </c>
      <c r="W9" s="15">
        <f t="shared" si="1"/>
        <v>45391</v>
      </c>
      <c r="X9" s="15">
        <f t="shared" si="1"/>
        <v>45392</v>
      </c>
      <c r="Y9" s="15">
        <f t="shared" si="1"/>
        <v>45393</v>
      </c>
      <c r="Z9" s="15">
        <f t="shared" si="1"/>
        <v>45394</v>
      </c>
      <c r="AA9" s="15">
        <f t="shared" si="1"/>
        <v>45395</v>
      </c>
      <c r="AB9" s="15">
        <f t="shared" si="1"/>
        <v>45396</v>
      </c>
      <c r="AC9" s="15">
        <f t="shared" si="1"/>
        <v>45397</v>
      </c>
      <c r="AD9" s="15">
        <f t="shared" si="1"/>
        <v>45398</v>
      </c>
      <c r="AE9" s="15">
        <f t="shared" si="1"/>
        <v>45399</v>
      </c>
      <c r="AF9" s="15">
        <f t="shared" si="1"/>
        <v>45400</v>
      </c>
      <c r="AG9" s="15">
        <f t="shared" si="1"/>
        <v>45401</v>
      </c>
      <c r="AH9" s="15">
        <f t="shared" si="1"/>
        <v>45402</v>
      </c>
      <c r="AI9" s="15">
        <f t="shared" si="1"/>
        <v>45403</v>
      </c>
      <c r="AJ9" s="15">
        <f t="shared" si="1"/>
        <v>45404</v>
      </c>
      <c r="AK9" s="15">
        <f t="shared" si="1"/>
        <v>45405</v>
      </c>
      <c r="AL9" s="15">
        <f t="shared" si="1"/>
        <v>45406</v>
      </c>
      <c r="AM9" s="15">
        <f t="shared" si="1"/>
        <v>45407</v>
      </c>
      <c r="AN9" s="15">
        <f t="shared" si="1"/>
        <v>45408</v>
      </c>
      <c r="AO9" s="15">
        <f t="shared" si="1"/>
        <v>45409</v>
      </c>
      <c r="AP9" s="15">
        <f t="shared" si="1"/>
        <v>45410</v>
      </c>
      <c r="AQ9" s="15">
        <f t="shared" si="1"/>
        <v>45411</v>
      </c>
      <c r="AR9" s="15">
        <f t="shared" si="1"/>
        <v>45412</v>
      </c>
      <c r="AS9" s="15">
        <f t="shared" si="1"/>
        <v>45413</v>
      </c>
      <c r="AT9" s="15">
        <f t="shared" si="1"/>
        <v>45414</v>
      </c>
      <c r="AU9" s="15">
        <f t="shared" si="1"/>
        <v>45415</v>
      </c>
      <c r="AV9" s="15">
        <f t="shared" si="1"/>
        <v>45416</v>
      </c>
      <c r="AW9" s="15">
        <f t="shared" si="1"/>
        <v>45417</v>
      </c>
      <c r="AX9" s="15">
        <f t="shared" si="1"/>
        <v>45418</v>
      </c>
      <c r="AY9" s="15">
        <f t="shared" si="1"/>
        <v>45419</v>
      </c>
      <c r="AZ9" s="15">
        <f t="shared" si="1"/>
        <v>45420</v>
      </c>
      <c r="BA9" s="15">
        <f t="shared" si="1"/>
        <v>45421</v>
      </c>
      <c r="BB9" s="15">
        <f t="shared" si="1"/>
        <v>45422</v>
      </c>
      <c r="BC9" s="15">
        <f t="shared" si="1"/>
        <v>45423</v>
      </c>
      <c r="BD9" s="15">
        <f t="shared" si="1"/>
        <v>45424</v>
      </c>
      <c r="BE9" s="15">
        <f t="shared" si="1"/>
        <v>45425</v>
      </c>
      <c r="BF9" s="15">
        <f t="shared" si="1"/>
        <v>45426</v>
      </c>
      <c r="BG9" s="15">
        <f t="shared" si="1"/>
        <v>45427</v>
      </c>
      <c r="BH9" s="15">
        <f t="shared" si="1"/>
        <v>45428</v>
      </c>
      <c r="BI9" s="15">
        <f t="shared" si="1"/>
        <v>45429</v>
      </c>
      <c r="BJ9" s="15">
        <f t="shared" si="1"/>
        <v>45430</v>
      </c>
      <c r="BK9" s="15">
        <f t="shared" si="1"/>
        <v>45431</v>
      </c>
      <c r="BL9" s="15">
        <f t="shared" si="1"/>
        <v>45432</v>
      </c>
      <c r="BM9" s="15">
        <f t="shared" si="1"/>
        <v>45433</v>
      </c>
      <c r="BN9" s="15">
        <f t="shared" si="1"/>
        <v>45434</v>
      </c>
      <c r="BO9" s="15">
        <f t="shared" si="1"/>
        <v>45435</v>
      </c>
      <c r="BP9" s="15">
        <f t="shared" si="1"/>
        <v>45436</v>
      </c>
      <c r="BQ9" s="15">
        <f t="shared" si="1"/>
        <v>45437</v>
      </c>
      <c r="BR9" s="15">
        <f t="shared" si="1"/>
        <v>45438</v>
      </c>
      <c r="BS9" s="15">
        <f t="shared" si="1"/>
        <v>45439</v>
      </c>
      <c r="BT9" s="15">
        <f t="shared" si="1"/>
        <v>45440</v>
      </c>
      <c r="BU9" s="15">
        <f t="shared" si="1"/>
        <v>45441</v>
      </c>
      <c r="BV9" s="15">
        <f t="shared" si="1"/>
        <v>45442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J9" s="20"/>
      <c r="CL9" s="4"/>
    </row>
    <row r="10" spans="1:99" ht="14.1" customHeight="1" x14ac:dyDescent="0.15">
      <c r="A10" s="234" t="s">
        <v>1</v>
      </c>
      <c r="B10" s="249" t="s">
        <v>63</v>
      </c>
      <c r="C10" s="250"/>
      <c r="D10" s="249" t="s">
        <v>52</v>
      </c>
      <c r="E10" s="250"/>
      <c r="F10" s="240" t="s">
        <v>16</v>
      </c>
      <c r="G10" s="267"/>
      <c r="H10" s="268"/>
      <c r="I10" s="237" t="s">
        <v>0</v>
      </c>
      <c r="J10" s="240" t="s">
        <v>4</v>
      </c>
      <c r="K10" s="293" t="s">
        <v>20</v>
      </c>
      <c r="L10" s="305"/>
      <c r="M10" s="237" t="s">
        <v>60</v>
      </c>
      <c r="N10" s="289" t="s">
        <v>33</v>
      </c>
      <c r="O10" s="196" t="str">
        <f>IFERROR(" "&amp;MONTH(D5)&amp;"月","")</f>
        <v xml:space="preserve"> 4月</v>
      </c>
      <c r="P10" s="197" t="str">
        <f>IFERROR(IF(P11=1," "&amp;P8&amp;"月",""),"")</f>
        <v/>
      </c>
      <c r="Q10" s="197" t="str">
        <f t="shared" ref="Q10:BV10" si="2">IFERROR(IF(Q11=1," "&amp;Q8&amp;"月",""),"")</f>
        <v/>
      </c>
      <c r="R10" s="197" t="str">
        <f t="shared" si="2"/>
        <v/>
      </c>
      <c r="S10" s="197" t="str">
        <f t="shared" si="2"/>
        <v/>
      </c>
      <c r="T10" s="197" t="str">
        <f t="shared" si="2"/>
        <v/>
      </c>
      <c r="U10" s="197" t="str">
        <f t="shared" si="2"/>
        <v/>
      </c>
      <c r="V10" s="197" t="str">
        <f t="shared" si="2"/>
        <v/>
      </c>
      <c r="W10" s="197" t="str">
        <f t="shared" si="2"/>
        <v/>
      </c>
      <c r="X10" s="197" t="str">
        <f t="shared" si="2"/>
        <v/>
      </c>
      <c r="Y10" s="197" t="str">
        <f t="shared" si="2"/>
        <v/>
      </c>
      <c r="Z10" s="197" t="str">
        <f t="shared" si="2"/>
        <v/>
      </c>
      <c r="AA10" s="197" t="str">
        <f t="shared" si="2"/>
        <v/>
      </c>
      <c r="AB10" s="197" t="str">
        <f t="shared" si="2"/>
        <v/>
      </c>
      <c r="AC10" s="197" t="str">
        <f t="shared" si="2"/>
        <v/>
      </c>
      <c r="AD10" s="197" t="str">
        <f t="shared" si="2"/>
        <v/>
      </c>
      <c r="AE10" s="197" t="str">
        <f t="shared" si="2"/>
        <v/>
      </c>
      <c r="AF10" s="197" t="str">
        <f t="shared" si="2"/>
        <v/>
      </c>
      <c r="AG10" s="197" t="str">
        <f t="shared" si="2"/>
        <v/>
      </c>
      <c r="AH10" s="197" t="str">
        <f t="shared" si="2"/>
        <v/>
      </c>
      <c r="AI10" s="197" t="str">
        <f t="shared" si="2"/>
        <v/>
      </c>
      <c r="AJ10" s="197" t="str">
        <f t="shared" si="2"/>
        <v/>
      </c>
      <c r="AK10" s="197" t="str">
        <f t="shared" si="2"/>
        <v/>
      </c>
      <c r="AL10" s="197" t="str">
        <f t="shared" si="2"/>
        <v/>
      </c>
      <c r="AM10" s="197" t="str">
        <f t="shared" si="2"/>
        <v/>
      </c>
      <c r="AN10" s="197" t="str">
        <f t="shared" si="2"/>
        <v/>
      </c>
      <c r="AO10" s="197" t="str">
        <f t="shared" si="2"/>
        <v/>
      </c>
      <c r="AP10" s="197" t="str">
        <f t="shared" si="2"/>
        <v/>
      </c>
      <c r="AQ10" s="197" t="str">
        <f t="shared" si="2"/>
        <v/>
      </c>
      <c r="AR10" s="197" t="str">
        <f t="shared" si="2"/>
        <v/>
      </c>
      <c r="AS10" s="197" t="str">
        <f t="shared" si="2"/>
        <v xml:space="preserve"> 5月</v>
      </c>
      <c r="AT10" s="197" t="str">
        <f t="shared" si="2"/>
        <v/>
      </c>
      <c r="AU10" s="197" t="str">
        <f t="shared" si="2"/>
        <v/>
      </c>
      <c r="AV10" s="197" t="str">
        <f t="shared" si="2"/>
        <v/>
      </c>
      <c r="AW10" s="197" t="str">
        <f t="shared" si="2"/>
        <v/>
      </c>
      <c r="AX10" s="197" t="str">
        <f t="shared" si="2"/>
        <v/>
      </c>
      <c r="AY10" s="197" t="str">
        <f t="shared" si="2"/>
        <v/>
      </c>
      <c r="AZ10" s="197" t="str">
        <f t="shared" si="2"/>
        <v/>
      </c>
      <c r="BA10" s="197" t="str">
        <f t="shared" si="2"/>
        <v/>
      </c>
      <c r="BB10" s="197" t="str">
        <f t="shared" si="2"/>
        <v/>
      </c>
      <c r="BC10" s="197" t="str">
        <f t="shared" si="2"/>
        <v/>
      </c>
      <c r="BD10" s="197" t="str">
        <f t="shared" si="2"/>
        <v/>
      </c>
      <c r="BE10" s="197" t="str">
        <f t="shared" si="2"/>
        <v/>
      </c>
      <c r="BF10" s="197" t="str">
        <f t="shared" si="2"/>
        <v/>
      </c>
      <c r="BG10" s="197" t="str">
        <f t="shared" si="2"/>
        <v/>
      </c>
      <c r="BH10" s="197" t="str">
        <f t="shared" si="2"/>
        <v/>
      </c>
      <c r="BI10" s="197" t="str">
        <f t="shared" si="2"/>
        <v/>
      </c>
      <c r="BJ10" s="197" t="str">
        <f t="shared" si="2"/>
        <v/>
      </c>
      <c r="BK10" s="197" t="str">
        <f t="shared" si="2"/>
        <v/>
      </c>
      <c r="BL10" s="197" t="str">
        <f t="shared" si="2"/>
        <v/>
      </c>
      <c r="BM10" s="197" t="str">
        <f t="shared" si="2"/>
        <v/>
      </c>
      <c r="BN10" s="197" t="str">
        <f t="shared" si="2"/>
        <v/>
      </c>
      <c r="BO10" s="197" t="str">
        <f t="shared" si="2"/>
        <v/>
      </c>
      <c r="BP10" s="197" t="str">
        <f t="shared" si="2"/>
        <v/>
      </c>
      <c r="BQ10" s="197" t="str">
        <f t="shared" si="2"/>
        <v/>
      </c>
      <c r="BR10" s="197" t="str">
        <f t="shared" si="2"/>
        <v/>
      </c>
      <c r="BS10" s="197" t="str">
        <f t="shared" si="2"/>
        <v/>
      </c>
      <c r="BT10" s="197" t="str">
        <f t="shared" si="2"/>
        <v/>
      </c>
      <c r="BU10" s="197" t="str">
        <f t="shared" si="2"/>
        <v/>
      </c>
      <c r="BV10" s="197" t="str">
        <f t="shared" si="2"/>
        <v/>
      </c>
      <c r="BW10" s="276" t="s">
        <v>9</v>
      </c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8"/>
      <c r="CI10" s="5"/>
      <c r="CJ10" s="29"/>
      <c r="CK10" s="5"/>
      <c r="CN10" s="166" t="str">
        <f>IF(C3&lt;&gt;"新型コロナウイルス感染症","入力内容から発生人数を算出しています。WEB報告の参考としてください。","")</f>
        <v/>
      </c>
    </row>
    <row r="11" spans="1:99" ht="14.1" customHeight="1" x14ac:dyDescent="0.15">
      <c r="A11" s="235"/>
      <c r="B11" s="251"/>
      <c r="C11" s="252"/>
      <c r="D11" s="251"/>
      <c r="E11" s="252"/>
      <c r="F11" s="241"/>
      <c r="G11" s="269"/>
      <c r="H11" s="270"/>
      <c r="I11" s="238"/>
      <c r="J11" s="241"/>
      <c r="K11" s="296" t="s">
        <v>5</v>
      </c>
      <c r="L11" s="296" t="s">
        <v>19</v>
      </c>
      <c r="M11" s="238"/>
      <c r="N11" s="290"/>
      <c r="O11" s="198">
        <f>IFERROR(DAY($D$5),"")</f>
        <v>1</v>
      </c>
      <c r="P11" s="199">
        <f>IFERROR(DAY($D$5+1),"")</f>
        <v>2</v>
      </c>
      <c r="Q11" s="199">
        <f>IFERROR(DAY($D$5+2),"")</f>
        <v>3</v>
      </c>
      <c r="R11" s="199">
        <f>IFERROR(DAY($D$5+3),"")</f>
        <v>4</v>
      </c>
      <c r="S11" s="199">
        <f>IFERROR(DAY($D$5+4),"")</f>
        <v>5</v>
      </c>
      <c r="T11" s="199">
        <f>IFERROR(DAY($D$5+5),"")</f>
        <v>6</v>
      </c>
      <c r="U11" s="199">
        <f>IFERROR(DAY($D$5+6),"")</f>
        <v>7</v>
      </c>
      <c r="V11" s="199">
        <f>IFERROR(DAY($D$5+7),"")</f>
        <v>8</v>
      </c>
      <c r="W11" s="199">
        <f>IFERROR(DAY($D$5+8),"")</f>
        <v>9</v>
      </c>
      <c r="X11" s="199">
        <f>IFERROR(DAY($D$5+9),"")</f>
        <v>10</v>
      </c>
      <c r="Y11" s="199">
        <f>IFERROR(DAY($D$5+10),"")</f>
        <v>11</v>
      </c>
      <c r="Z11" s="199">
        <f>IFERROR(DAY($D$5+11),"")</f>
        <v>12</v>
      </c>
      <c r="AA11" s="199">
        <f>IFERROR(DAY($D$5+12),"")</f>
        <v>13</v>
      </c>
      <c r="AB11" s="199">
        <f>IFERROR(DAY($D$5+13),"")</f>
        <v>14</v>
      </c>
      <c r="AC11" s="199">
        <f>IFERROR(DAY($D$5+14),"")</f>
        <v>15</v>
      </c>
      <c r="AD11" s="199">
        <f>IFERROR(DAY($D$5+15),"")</f>
        <v>16</v>
      </c>
      <c r="AE11" s="199">
        <f>IFERROR(DAY($D$5+16),"")</f>
        <v>17</v>
      </c>
      <c r="AF11" s="199">
        <f>IFERROR(DAY($D$5+17),"")</f>
        <v>18</v>
      </c>
      <c r="AG11" s="199">
        <f>IFERROR(DAY($D$5+18),"")</f>
        <v>19</v>
      </c>
      <c r="AH11" s="199">
        <f>IFERROR(DAY($D$5+19),"")</f>
        <v>20</v>
      </c>
      <c r="AI11" s="199">
        <f>IFERROR(DAY($D$5+20),"")</f>
        <v>21</v>
      </c>
      <c r="AJ11" s="199">
        <f>IFERROR(DAY($D$5+21),"")</f>
        <v>22</v>
      </c>
      <c r="AK11" s="199">
        <f>IFERROR(DAY($D$5+22),"")</f>
        <v>23</v>
      </c>
      <c r="AL11" s="199">
        <f>IFERROR(DAY($D$5+23),"")</f>
        <v>24</v>
      </c>
      <c r="AM11" s="199">
        <f>IFERROR(DAY($D$5+24),"")</f>
        <v>25</v>
      </c>
      <c r="AN11" s="199">
        <f>IFERROR(DAY($D$5+25),"")</f>
        <v>26</v>
      </c>
      <c r="AO11" s="199">
        <f>IFERROR(DAY($D$5+26),"")</f>
        <v>27</v>
      </c>
      <c r="AP11" s="199">
        <f>IFERROR(DAY($D$5+27),"")</f>
        <v>28</v>
      </c>
      <c r="AQ11" s="199">
        <f>IFERROR(DAY($D$5+28),"")</f>
        <v>29</v>
      </c>
      <c r="AR11" s="199">
        <f>IFERROR(DAY($D$5+29),"")</f>
        <v>30</v>
      </c>
      <c r="AS11" s="199">
        <f>IFERROR(DAY($D$5+30),"")</f>
        <v>1</v>
      </c>
      <c r="AT11" s="199">
        <f>IFERROR(DAY($D$5+31),"")</f>
        <v>2</v>
      </c>
      <c r="AU11" s="199">
        <f>IFERROR(DAY($D$5+32),"")</f>
        <v>3</v>
      </c>
      <c r="AV11" s="199">
        <f>IFERROR(DAY($D$5+33),"")</f>
        <v>4</v>
      </c>
      <c r="AW11" s="199">
        <f>IFERROR(DAY($D$5+34),"")</f>
        <v>5</v>
      </c>
      <c r="AX11" s="199">
        <f>IFERROR(DAY($D$5+35),"")</f>
        <v>6</v>
      </c>
      <c r="AY11" s="199">
        <f>IFERROR(DAY($D$5+36),"")</f>
        <v>7</v>
      </c>
      <c r="AZ11" s="199">
        <f>IFERROR(DAY($D$5+37),"")</f>
        <v>8</v>
      </c>
      <c r="BA11" s="199">
        <f>IFERROR(DAY($D$5+38),"")</f>
        <v>9</v>
      </c>
      <c r="BB11" s="199">
        <f>IFERROR(DAY($D$5+39),"")</f>
        <v>10</v>
      </c>
      <c r="BC11" s="199">
        <f>IFERROR(DAY($D$5+40),"")</f>
        <v>11</v>
      </c>
      <c r="BD11" s="199">
        <f>IFERROR(DAY($D$5+41),"")</f>
        <v>12</v>
      </c>
      <c r="BE11" s="199">
        <f>IFERROR(DAY($D$5+42),"")</f>
        <v>13</v>
      </c>
      <c r="BF11" s="199">
        <f>IFERROR(DAY($D$5+43),"")</f>
        <v>14</v>
      </c>
      <c r="BG11" s="199">
        <f>IFERROR(DAY($D$5+44),"")</f>
        <v>15</v>
      </c>
      <c r="BH11" s="199">
        <f>IFERROR(DAY($D$5+45),"")</f>
        <v>16</v>
      </c>
      <c r="BI11" s="199">
        <f>IFERROR(DAY($D$5+46),"")</f>
        <v>17</v>
      </c>
      <c r="BJ11" s="199">
        <f>IFERROR(DAY($D$5+47),"")</f>
        <v>18</v>
      </c>
      <c r="BK11" s="199">
        <f>IFERROR(DAY($D$5+48),"")</f>
        <v>19</v>
      </c>
      <c r="BL11" s="199">
        <f>IFERROR(DAY($D$5+49),"")</f>
        <v>20</v>
      </c>
      <c r="BM11" s="199">
        <f>IFERROR(DAY($D$5+50),"")</f>
        <v>21</v>
      </c>
      <c r="BN11" s="199">
        <f>IFERROR(DAY($D$5+51),"")</f>
        <v>22</v>
      </c>
      <c r="BO11" s="199">
        <f>IFERROR(DAY($D$5+52),"")</f>
        <v>23</v>
      </c>
      <c r="BP11" s="199">
        <f>IFERROR(DAY($D$5+53),"")</f>
        <v>24</v>
      </c>
      <c r="BQ11" s="199">
        <f>IFERROR(DAY($D$5+54),"")</f>
        <v>25</v>
      </c>
      <c r="BR11" s="199">
        <f>IFERROR(DAY($D$5+55),"")</f>
        <v>26</v>
      </c>
      <c r="BS11" s="199">
        <f>IFERROR(DAY($D$5+56),"")</f>
        <v>27</v>
      </c>
      <c r="BT11" s="199">
        <f>IFERROR(DAY($D$5+57),"")</f>
        <v>28</v>
      </c>
      <c r="BU11" s="199">
        <f>IFERROR(DAY($D$5+58),"")</f>
        <v>29</v>
      </c>
      <c r="BV11" s="211">
        <f>IFERROR(DAY($D$5+59),"")</f>
        <v>30</v>
      </c>
      <c r="BW11" s="279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1"/>
      <c r="CI11" s="5"/>
      <c r="CJ11" s="29"/>
      <c r="CK11" s="5"/>
      <c r="CL11" s="1">
        <f>MAX('記載様式（入院患者）'!CN:CN)</f>
        <v>0</v>
      </c>
      <c r="CN11" s="166" t="str">
        <f>IF(C3&lt;&gt;"新型コロナウイルス感染症","○病棟別の有症状者数（累計）","")</f>
        <v/>
      </c>
      <c r="CQ11" s="177"/>
      <c r="CR11" s="166" t="str">
        <f>IF(C3&lt;&gt;"新型コロナウイルス感染症","○死亡者数","")</f>
        <v/>
      </c>
    </row>
    <row r="12" spans="1:99" ht="14.1" customHeight="1" thickBot="1" x14ac:dyDescent="0.2">
      <c r="A12" s="236"/>
      <c r="B12" s="253"/>
      <c r="C12" s="254"/>
      <c r="D12" s="253"/>
      <c r="E12" s="254"/>
      <c r="F12" s="242"/>
      <c r="G12" s="271"/>
      <c r="H12" s="272"/>
      <c r="I12" s="239"/>
      <c r="J12" s="242"/>
      <c r="K12" s="242"/>
      <c r="L12" s="242"/>
      <c r="M12" s="239"/>
      <c r="N12" s="291"/>
      <c r="O12" s="201" t="str">
        <f>IFERROR(TEXT(O9,"aaa"),"")</f>
        <v>月</v>
      </c>
      <c r="P12" s="202" t="str">
        <f>IFERROR(TEXT(P9,"aaa"),"")</f>
        <v>火</v>
      </c>
      <c r="Q12" s="202" t="str">
        <f t="shared" ref="Q12:BV12" si="3">IFERROR(TEXT(Q9,"aaa"),"")</f>
        <v>水</v>
      </c>
      <c r="R12" s="202" t="str">
        <f t="shared" si="3"/>
        <v>木</v>
      </c>
      <c r="S12" s="202" t="str">
        <f t="shared" si="3"/>
        <v>金</v>
      </c>
      <c r="T12" s="202" t="str">
        <f t="shared" si="3"/>
        <v>土</v>
      </c>
      <c r="U12" s="202" t="str">
        <f t="shared" si="3"/>
        <v>日</v>
      </c>
      <c r="V12" s="202" t="str">
        <f t="shared" si="3"/>
        <v>月</v>
      </c>
      <c r="W12" s="202" t="str">
        <f t="shared" si="3"/>
        <v>火</v>
      </c>
      <c r="X12" s="202" t="str">
        <f t="shared" si="3"/>
        <v>水</v>
      </c>
      <c r="Y12" s="202" t="str">
        <f t="shared" si="3"/>
        <v>木</v>
      </c>
      <c r="Z12" s="202" t="str">
        <f t="shared" si="3"/>
        <v>金</v>
      </c>
      <c r="AA12" s="202" t="str">
        <f t="shared" si="3"/>
        <v>土</v>
      </c>
      <c r="AB12" s="202" t="str">
        <f t="shared" si="3"/>
        <v>日</v>
      </c>
      <c r="AC12" s="202" t="str">
        <f t="shared" si="3"/>
        <v>月</v>
      </c>
      <c r="AD12" s="202" t="str">
        <f t="shared" si="3"/>
        <v>火</v>
      </c>
      <c r="AE12" s="202" t="str">
        <f t="shared" si="3"/>
        <v>水</v>
      </c>
      <c r="AF12" s="202" t="str">
        <f t="shared" si="3"/>
        <v>木</v>
      </c>
      <c r="AG12" s="202" t="str">
        <f t="shared" si="3"/>
        <v>金</v>
      </c>
      <c r="AH12" s="202" t="str">
        <f t="shared" si="3"/>
        <v>土</v>
      </c>
      <c r="AI12" s="202" t="str">
        <f t="shared" si="3"/>
        <v>日</v>
      </c>
      <c r="AJ12" s="202" t="str">
        <f t="shared" si="3"/>
        <v>月</v>
      </c>
      <c r="AK12" s="202" t="str">
        <f t="shared" si="3"/>
        <v>火</v>
      </c>
      <c r="AL12" s="202" t="str">
        <f t="shared" si="3"/>
        <v>水</v>
      </c>
      <c r="AM12" s="202" t="str">
        <f t="shared" si="3"/>
        <v>木</v>
      </c>
      <c r="AN12" s="202" t="str">
        <f t="shared" si="3"/>
        <v>金</v>
      </c>
      <c r="AO12" s="202" t="str">
        <f t="shared" si="3"/>
        <v>土</v>
      </c>
      <c r="AP12" s="202" t="str">
        <f t="shared" si="3"/>
        <v>日</v>
      </c>
      <c r="AQ12" s="202" t="str">
        <f t="shared" si="3"/>
        <v>月</v>
      </c>
      <c r="AR12" s="202" t="str">
        <f t="shared" si="3"/>
        <v>火</v>
      </c>
      <c r="AS12" s="202" t="str">
        <f t="shared" si="3"/>
        <v>水</v>
      </c>
      <c r="AT12" s="202" t="str">
        <f t="shared" si="3"/>
        <v>木</v>
      </c>
      <c r="AU12" s="202" t="str">
        <f t="shared" si="3"/>
        <v>金</v>
      </c>
      <c r="AV12" s="202" t="str">
        <f t="shared" si="3"/>
        <v>土</v>
      </c>
      <c r="AW12" s="202" t="str">
        <f t="shared" si="3"/>
        <v>日</v>
      </c>
      <c r="AX12" s="202" t="str">
        <f t="shared" si="3"/>
        <v>月</v>
      </c>
      <c r="AY12" s="202" t="str">
        <f t="shared" si="3"/>
        <v>火</v>
      </c>
      <c r="AZ12" s="202" t="str">
        <f t="shared" si="3"/>
        <v>水</v>
      </c>
      <c r="BA12" s="202" t="str">
        <f t="shared" si="3"/>
        <v>木</v>
      </c>
      <c r="BB12" s="202" t="str">
        <f t="shared" si="3"/>
        <v>金</v>
      </c>
      <c r="BC12" s="202" t="str">
        <f t="shared" si="3"/>
        <v>土</v>
      </c>
      <c r="BD12" s="202" t="str">
        <f t="shared" si="3"/>
        <v>日</v>
      </c>
      <c r="BE12" s="202" t="str">
        <f t="shared" si="3"/>
        <v>月</v>
      </c>
      <c r="BF12" s="202" t="str">
        <f t="shared" si="3"/>
        <v>火</v>
      </c>
      <c r="BG12" s="202" t="str">
        <f t="shared" si="3"/>
        <v>水</v>
      </c>
      <c r="BH12" s="202" t="str">
        <f t="shared" si="3"/>
        <v>木</v>
      </c>
      <c r="BI12" s="202" t="str">
        <f t="shared" si="3"/>
        <v>金</v>
      </c>
      <c r="BJ12" s="202" t="str">
        <f t="shared" si="3"/>
        <v>土</v>
      </c>
      <c r="BK12" s="202" t="str">
        <f t="shared" si="3"/>
        <v>日</v>
      </c>
      <c r="BL12" s="202" t="str">
        <f t="shared" si="3"/>
        <v>月</v>
      </c>
      <c r="BM12" s="202" t="str">
        <f t="shared" si="3"/>
        <v>火</v>
      </c>
      <c r="BN12" s="202" t="str">
        <f t="shared" si="3"/>
        <v>水</v>
      </c>
      <c r="BO12" s="202" t="str">
        <f t="shared" si="3"/>
        <v>木</v>
      </c>
      <c r="BP12" s="202" t="str">
        <f t="shared" si="3"/>
        <v>金</v>
      </c>
      <c r="BQ12" s="202" t="str">
        <f t="shared" si="3"/>
        <v>土</v>
      </c>
      <c r="BR12" s="202" t="str">
        <f t="shared" si="3"/>
        <v>日</v>
      </c>
      <c r="BS12" s="202" t="str">
        <f t="shared" si="3"/>
        <v>月</v>
      </c>
      <c r="BT12" s="202" t="str">
        <f t="shared" si="3"/>
        <v>火</v>
      </c>
      <c r="BU12" s="202" t="str">
        <f t="shared" si="3"/>
        <v>水</v>
      </c>
      <c r="BV12" s="202" t="str">
        <f t="shared" si="3"/>
        <v>木</v>
      </c>
      <c r="BW12" s="282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4"/>
      <c r="CI12" s="38" t="s">
        <v>36</v>
      </c>
      <c r="CJ12" s="39" t="s">
        <v>37</v>
      </c>
      <c r="CK12" s="263" t="s">
        <v>38</v>
      </c>
      <c r="CL12" s="263"/>
      <c r="CN12" s="203"/>
      <c r="CO12" s="203" t="str">
        <f>IF(C3&lt;&gt;"新型コロナウイルス感染症","入院患者","")</f>
        <v/>
      </c>
      <c r="CP12" s="203" t="str">
        <f>IF(C3&lt;&gt;"新型コロナウイルス感染症","職員","")</f>
        <v/>
      </c>
      <c r="CQ12" s="177"/>
      <c r="CR12" s="192"/>
      <c r="CS12" s="192" t="str">
        <f>IF(C3&lt;&gt;"新型コロナウイルス感染症","入院患者","")</f>
        <v/>
      </c>
      <c r="CT12" s="192" t="str">
        <f>IF(C3&lt;&gt;"新型コロナウイルス感染症","職員","")</f>
        <v/>
      </c>
    </row>
    <row r="13" spans="1:99" ht="15" customHeight="1" x14ac:dyDescent="0.15">
      <c r="A13" s="85" t="str">
        <f>IF(B13="","","1")</f>
        <v>1</v>
      </c>
      <c r="B13" s="255" t="s">
        <v>73</v>
      </c>
      <c r="C13" s="256"/>
      <c r="D13" s="255" t="s">
        <v>54</v>
      </c>
      <c r="E13" s="256"/>
      <c r="F13" s="302" t="s">
        <v>56</v>
      </c>
      <c r="G13" s="303"/>
      <c r="H13" s="304"/>
      <c r="I13" s="147" t="s">
        <v>3</v>
      </c>
      <c r="J13" s="148">
        <v>41</v>
      </c>
      <c r="K13" s="164" t="s">
        <v>41</v>
      </c>
      <c r="L13" s="150">
        <v>45384</v>
      </c>
      <c r="M13" s="212">
        <v>45384</v>
      </c>
      <c r="N13" s="91" t="s">
        <v>42</v>
      </c>
      <c r="O13" s="226"/>
      <c r="P13" s="214" t="s">
        <v>21</v>
      </c>
      <c r="Q13" s="214" t="s">
        <v>21</v>
      </c>
      <c r="R13" s="214" t="s">
        <v>21</v>
      </c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22"/>
      <c r="BW13" s="97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9"/>
      <c r="CI13" s="6" t="b">
        <f>COUNTIF(O13:BV13,"○")&gt;0</f>
        <v>1</v>
      </c>
      <c r="CJ13" s="24">
        <f t="shared" ref="CJ13:CJ44" ca="1" si="4">IFERROR(OFFSET($O$9,0,MATCH("○",O13:BV13,0)-1,1,1),"")</f>
        <v>45384</v>
      </c>
      <c r="CK13" s="5">
        <f>IF(COUNTIF($B$13:B13,B13)+COUNTIF('入力方法（入院患者）'!$CR$15:$CR$24,B13)=1,1,0)</f>
        <v>0</v>
      </c>
      <c r="CL13" s="1">
        <f>SUM($CK$13:CK13)+$CL$11</f>
        <v>0</v>
      </c>
      <c r="CN13" s="203" t="str">
        <f>IF('入力方法（入院患者）'!CT15="","",'入力方法（入院患者）'!CT15)</f>
        <v/>
      </c>
      <c r="CO13" s="204" t="str">
        <f>IF(AND(C3&lt;&gt;"新型コロナウイルス感染症",CN13&lt;&gt;""),'入力方法（入院患者）'!CU15,"")</f>
        <v/>
      </c>
      <c r="CP13" s="204" t="str">
        <f t="shared" ref="CP13:CP22" si="5">IF(AND(C3&lt;&gt;"新型コロナウイルス感染症",CN13&lt;&gt;""),COUNTIFS(B:B,CN13,CI:CI,TRUE),"")</f>
        <v/>
      </c>
      <c r="CQ13" s="177"/>
      <c r="CR13" s="203" t="str">
        <f>IF(C3&lt;&gt;"新型コロナウイルス感染症","死亡者数（累計）","")</f>
        <v/>
      </c>
      <c r="CS13" s="210" t="str">
        <f>IF(C4&lt;&gt;"新型コロナウイルス感染症",'入力方法（入院患者）'!CY15,"")</f>
        <v/>
      </c>
      <c r="CT13" s="192" t="str">
        <f>IF($C$3&lt;&gt;"新型コロナウイルス感染症","ー","")</f>
        <v/>
      </c>
    </row>
    <row r="14" spans="1:99" ht="15" customHeight="1" x14ac:dyDescent="0.15">
      <c r="A14" s="86">
        <f>IFERROR(IF(B14="","",A13+1),"")</f>
        <v>2</v>
      </c>
      <c r="B14" s="232" t="s">
        <v>73</v>
      </c>
      <c r="C14" s="233"/>
      <c r="D14" s="232" t="s">
        <v>55</v>
      </c>
      <c r="E14" s="233"/>
      <c r="F14" s="257" t="s">
        <v>57</v>
      </c>
      <c r="G14" s="258"/>
      <c r="H14" s="259"/>
      <c r="I14" s="102" t="s">
        <v>2</v>
      </c>
      <c r="J14" s="160">
        <v>35</v>
      </c>
      <c r="K14" s="160" t="s">
        <v>41</v>
      </c>
      <c r="L14" s="152">
        <v>45384</v>
      </c>
      <c r="M14" s="104">
        <v>45384</v>
      </c>
      <c r="N14" s="102" t="s">
        <v>7</v>
      </c>
      <c r="O14" s="217"/>
      <c r="P14" s="216" t="s">
        <v>21</v>
      </c>
      <c r="Q14" s="216" t="s">
        <v>21</v>
      </c>
      <c r="R14" s="216" t="s">
        <v>21</v>
      </c>
      <c r="S14" s="216" t="s">
        <v>21</v>
      </c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23"/>
      <c r="BW14" s="97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9"/>
      <c r="CI14" s="6" t="b">
        <f t="shared" ref="CI14:CI77" si="6">COUNTIF(O14:BV14,"○")&gt;0</f>
        <v>1</v>
      </c>
      <c r="CJ14" s="24">
        <f t="shared" ca="1" si="4"/>
        <v>45384</v>
      </c>
      <c r="CK14" s="5">
        <f>IF(COUNTIF($B$13:B14,B14)+COUNTIF('入力方法（入院患者）'!$CR$15:$CR$24,B14)=1,1,0)</f>
        <v>0</v>
      </c>
      <c r="CL14" s="1">
        <f>SUM($CK$13:CK14)+$CL$11</f>
        <v>0</v>
      </c>
      <c r="CN14" s="203" t="str">
        <f>IF('入力方法（入院患者）'!CT16="","",'入力方法（入院患者）'!CT16)</f>
        <v/>
      </c>
      <c r="CO14" s="204" t="str">
        <f>IF(AND(C4&lt;&gt;"新型コロナウイルス感染症",CN14&lt;&gt;""),'入力方法（入院患者）'!CU16,"")</f>
        <v/>
      </c>
      <c r="CP14" s="204" t="str">
        <f t="shared" si="5"/>
        <v/>
      </c>
      <c r="CQ14" s="177"/>
    </row>
    <row r="15" spans="1:99" s="2" customFormat="1" ht="15" customHeight="1" x14ac:dyDescent="0.15">
      <c r="A15" s="86">
        <f t="shared" ref="A15:A78" si="7">IFERROR(IF(B15="","",A14+1),"")</f>
        <v>3</v>
      </c>
      <c r="B15" s="232" t="s">
        <v>73</v>
      </c>
      <c r="C15" s="233"/>
      <c r="D15" s="232" t="s">
        <v>55</v>
      </c>
      <c r="E15" s="233"/>
      <c r="F15" s="257" t="s">
        <v>47</v>
      </c>
      <c r="G15" s="258"/>
      <c r="H15" s="259"/>
      <c r="I15" s="102" t="s">
        <v>70</v>
      </c>
      <c r="J15" s="160">
        <v>50</v>
      </c>
      <c r="K15" s="160" t="s">
        <v>41</v>
      </c>
      <c r="L15" s="152">
        <v>45385</v>
      </c>
      <c r="M15" s="104">
        <v>45385</v>
      </c>
      <c r="N15" s="102" t="s">
        <v>8</v>
      </c>
      <c r="O15" s="217"/>
      <c r="P15" s="216"/>
      <c r="Q15" s="216" t="s">
        <v>21</v>
      </c>
      <c r="R15" s="216" t="s">
        <v>21</v>
      </c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23"/>
      <c r="BW15" s="97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9"/>
      <c r="CI15" s="6" t="b">
        <f t="shared" si="6"/>
        <v>1</v>
      </c>
      <c r="CJ15" s="24">
        <f t="shared" ca="1" si="4"/>
        <v>45385</v>
      </c>
      <c r="CK15" s="5">
        <f>IF(COUNTIF($B$13:B15,B15)+COUNTIF('入力方法（入院患者）'!$CR$15:$CR$24,B15)=1,1,0)</f>
        <v>0</v>
      </c>
      <c r="CL15" s="1">
        <f>SUM($CK$13:CK15)+$CL$11</f>
        <v>0</v>
      </c>
      <c r="CM15" s="166"/>
      <c r="CN15" s="203" t="str">
        <f>IF('入力方法（入院患者）'!CT17="","",'入力方法（入院患者）'!CT17)</f>
        <v/>
      </c>
      <c r="CO15" s="204" t="str">
        <f>IF(AND(C5&lt;&gt;"新型コロナウイルス感染症",CN15&lt;&gt;""),'入力方法（入院患者）'!CU17,"")</f>
        <v/>
      </c>
      <c r="CP15" s="204" t="str">
        <f t="shared" si="5"/>
        <v/>
      </c>
      <c r="CQ15" s="166"/>
      <c r="CR15" s="166"/>
      <c r="CS15" s="166"/>
      <c r="CT15" s="166"/>
      <c r="CU15" s="166"/>
    </row>
    <row r="16" spans="1:99" s="2" customFormat="1" ht="15" customHeight="1" x14ac:dyDescent="0.15">
      <c r="A16" s="86">
        <f t="shared" si="7"/>
        <v>4</v>
      </c>
      <c r="B16" s="232" t="s">
        <v>73</v>
      </c>
      <c r="C16" s="233"/>
      <c r="D16" s="232" t="s">
        <v>55</v>
      </c>
      <c r="E16" s="233"/>
      <c r="F16" s="257" t="s">
        <v>48</v>
      </c>
      <c r="G16" s="258"/>
      <c r="H16" s="259"/>
      <c r="I16" s="102" t="s">
        <v>71</v>
      </c>
      <c r="J16" s="160">
        <v>44</v>
      </c>
      <c r="K16" s="160" t="s">
        <v>41</v>
      </c>
      <c r="L16" s="103">
        <v>45385</v>
      </c>
      <c r="M16" s="104">
        <v>45385</v>
      </c>
      <c r="N16" s="102" t="s">
        <v>7</v>
      </c>
      <c r="O16" s="217"/>
      <c r="P16" s="216"/>
      <c r="Q16" s="216" t="s">
        <v>21</v>
      </c>
      <c r="R16" s="216" t="s">
        <v>21</v>
      </c>
      <c r="S16" s="216" t="s">
        <v>21</v>
      </c>
      <c r="T16" s="216" t="s">
        <v>21</v>
      </c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23"/>
      <c r="BW16" s="97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9"/>
      <c r="CI16" s="6" t="b">
        <f t="shared" si="6"/>
        <v>1</v>
      </c>
      <c r="CJ16" s="24">
        <f t="shared" ca="1" si="4"/>
        <v>45385</v>
      </c>
      <c r="CK16" s="5">
        <f>IF(COUNTIF($B$13:B16,B16)+COUNTIF('入力方法（入院患者）'!$CR$15:$CR$24,B16)=1,1,0)</f>
        <v>0</v>
      </c>
      <c r="CL16" s="1">
        <f>SUM($CK$13:CK16)+$CL$11</f>
        <v>0</v>
      </c>
      <c r="CM16" s="166"/>
      <c r="CN16" s="203" t="str">
        <f>IF('入力方法（入院患者）'!CT18="","",'入力方法（入院患者）'!CT18)</f>
        <v/>
      </c>
      <c r="CO16" s="204" t="str">
        <f>IF(AND(C6&lt;&gt;"新型コロナウイルス感染症",CN16&lt;&gt;""),'入力方法（入院患者）'!CU18,"")</f>
        <v/>
      </c>
      <c r="CP16" s="204" t="str">
        <f t="shared" si="5"/>
        <v/>
      </c>
      <c r="CQ16" s="166"/>
      <c r="CR16" s="166"/>
      <c r="CS16" s="166"/>
      <c r="CT16" s="166"/>
      <c r="CU16" s="166"/>
    </row>
    <row r="17" spans="1:99" s="2" customFormat="1" ht="15" customHeight="1" x14ac:dyDescent="0.15">
      <c r="A17" s="86">
        <f t="shared" si="7"/>
        <v>5</v>
      </c>
      <c r="B17" s="232" t="s">
        <v>73</v>
      </c>
      <c r="C17" s="233"/>
      <c r="D17" s="232" t="s">
        <v>55</v>
      </c>
      <c r="E17" s="233"/>
      <c r="F17" s="257" t="s">
        <v>49</v>
      </c>
      <c r="G17" s="258"/>
      <c r="H17" s="259"/>
      <c r="I17" s="102" t="s">
        <v>71</v>
      </c>
      <c r="J17" s="160">
        <v>38</v>
      </c>
      <c r="K17" s="160" t="s">
        <v>41</v>
      </c>
      <c r="L17" s="152">
        <v>45385</v>
      </c>
      <c r="M17" s="104">
        <v>45385</v>
      </c>
      <c r="N17" s="102" t="s">
        <v>50</v>
      </c>
      <c r="O17" s="217"/>
      <c r="P17" s="216"/>
      <c r="Q17" s="216" t="s">
        <v>21</v>
      </c>
      <c r="R17" s="216" t="s">
        <v>21</v>
      </c>
      <c r="S17" s="216" t="s">
        <v>21</v>
      </c>
      <c r="T17" s="216" t="s">
        <v>21</v>
      </c>
      <c r="U17" s="216" t="s">
        <v>21</v>
      </c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23"/>
      <c r="BW17" s="97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9"/>
      <c r="CI17" s="6" t="b">
        <f t="shared" si="6"/>
        <v>1</v>
      </c>
      <c r="CJ17" s="24">
        <f t="shared" ca="1" si="4"/>
        <v>45385</v>
      </c>
      <c r="CK17" s="5">
        <f>IF(COUNTIF($B$13:B17,B17)+COUNTIF('入力方法（入院患者）'!$CR$15:$CR$24,B17)=1,1,0)</f>
        <v>0</v>
      </c>
      <c r="CL17" s="1">
        <f>SUM($CK$13:CK17)+$CL$11</f>
        <v>0</v>
      </c>
      <c r="CM17" s="166"/>
      <c r="CN17" s="203" t="str">
        <f>IF('入力方法（入院患者）'!CT19="","",'入力方法（入院患者）'!CT19)</f>
        <v/>
      </c>
      <c r="CO17" s="204" t="str">
        <f>IF(AND(C7&lt;&gt;"新型コロナウイルス感染症",CN17&lt;&gt;""),'入力方法（入院患者）'!CU19,"")</f>
        <v/>
      </c>
      <c r="CP17" s="204" t="str">
        <f t="shared" si="5"/>
        <v/>
      </c>
      <c r="CQ17" s="166"/>
      <c r="CR17" s="166"/>
      <c r="CS17" s="166"/>
      <c r="CT17" s="166"/>
      <c r="CU17" s="166"/>
    </row>
    <row r="18" spans="1:99" s="2" customFormat="1" ht="15" customHeight="1" x14ac:dyDescent="0.15">
      <c r="A18" s="86" t="str">
        <f t="shared" si="7"/>
        <v/>
      </c>
      <c r="B18" s="232"/>
      <c r="C18" s="233"/>
      <c r="D18" s="232"/>
      <c r="E18" s="233"/>
      <c r="F18" s="257"/>
      <c r="G18" s="258"/>
      <c r="H18" s="259"/>
      <c r="I18" s="102"/>
      <c r="J18" s="160"/>
      <c r="K18" s="160"/>
      <c r="L18" s="160"/>
      <c r="M18" s="104"/>
      <c r="N18" s="102"/>
      <c r="O18" s="217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23"/>
      <c r="BW18" s="97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9"/>
      <c r="CI18" s="6" t="b">
        <f t="shared" si="6"/>
        <v>0</v>
      </c>
      <c r="CJ18" s="24" t="str">
        <f t="shared" ca="1" si="4"/>
        <v/>
      </c>
      <c r="CK18" s="5">
        <f>IF(COUNTIF($B$13:B18,B18)+COUNTIF('入力方法（入院患者）'!$CR$15:$CR$24,B18)=1,1,0)</f>
        <v>0</v>
      </c>
      <c r="CL18" s="1">
        <f>SUM($CK$13:CK18)+$CL$11</f>
        <v>0</v>
      </c>
      <c r="CM18" s="166"/>
      <c r="CN18" s="203" t="str">
        <f>IF('入力方法（入院患者）'!CT20="","",'入力方法（入院患者）'!CT20)</f>
        <v/>
      </c>
      <c r="CO18" s="204" t="str">
        <f>IF(AND(C8&lt;&gt;"新型コロナウイルス感染症",CN18&lt;&gt;""),'入力方法（入院患者）'!CU20,"")</f>
        <v/>
      </c>
      <c r="CP18" s="204" t="str">
        <f t="shared" si="5"/>
        <v/>
      </c>
      <c r="CQ18" s="166"/>
      <c r="CR18" s="166"/>
      <c r="CS18" s="166"/>
      <c r="CT18" s="166"/>
      <c r="CU18" s="166"/>
    </row>
    <row r="19" spans="1:99" s="2" customFormat="1" ht="15" customHeight="1" x14ac:dyDescent="0.15">
      <c r="A19" s="86" t="str">
        <f t="shared" si="7"/>
        <v/>
      </c>
      <c r="B19" s="232"/>
      <c r="C19" s="233"/>
      <c r="D19" s="232"/>
      <c r="E19" s="233"/>
      <c r="F19" s="257"/>
      <c r="G19" s="258"/>
      <c r="H19" s="259"/>
      <c r="I19" s="102"/>
      <c r="J19" s="160"/>
      <c r="K19" s="160"/>
      <c r="L19" s="160"/>
      <c r="M19" s="104"/>
      <c r="N19" s="102"/>
      <c r="O19" s="217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23"/>
      <c r="BW19" s="97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9"/>
      <c r="CI19" s="6" t="b">
        <f t="shared" si="6"/>
        <v>0</v>
      </c>
      <c r="CJ19" s="24" t="str">
        <f t="shared" ca="1" si="4"/>
        <v/>
      </c>
      <c r="CK19" s="5">
        <f>IF(COUNTIF($B$13:B19,B19)+COUNTIF('入力方法（入院患者）'!$CR$15:$CR$24,B19)=1,1,0)</f>
        <v>0</v>
      </c>
      <c r="CL19" s="1">
        <f>SUM($CK$13:CK19)+$CL$11</f>
        <v>0</v>
      </c>
      <c r="CM19" s="166"/>
      <c r="CN19" s="203" t="str">
        <f>IF('入力方法（入院患者）'!CT21="","",'入力方法（入院患者）'!CT21)</f>
        <v/>
      </c>
      <c r="CO19" s="204" t="str">
        <f>IF(AND(C9&lt;&gt;"新型コロナウイルス感染症",CN19&lt;&gt;""),'入力方法（入院患者）'!CU21,"")</f>
        <v/>
      </c>
      <c r="CP19" s="204" t="str">
        <f t="shared" si="5"/>
        <v/>
      </c>
      <c r="CQ19" s="166"/>
      <c r="CR19" s="166"/>
      <c r="CS19" s="166"/>
      <c r="CT19" s="166"/>
      <c r="CU19" s="166"/>
    </row>
    <row r="20" spans="1:99" s="2" customFormat="1" ht="15" customHeight="1" x14ac:dyDescent="0.15">
      <c r="A20" s="86" t="str">
        <f t="shared" si="7"/>
        <v/>
      </c>
      <c r="B20" s="232"/>
      <c r="C20" s="233"/>
      <c r="D20" s="232"/>
      <c r="E20" s="233"/>
      <c r="F20" s="257"/>
      <c r="G20" s="258"/>
      <c r="H20" s="259"/>
      <c r="I20" s="102"/>
      <c r="J20" s="160"/>
      <c r="K20" s="160"/>
      <c r="L20" s="160"/>
      <c r="M20" s="104"/>
      <c r="N20" s="102"/>
      <c r="O20" s="217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23"/>
      <c r="BW20" s="97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9"/>
      <c r="CI20" s="6" t="b">
        <f t="shared" si="6"/>
        <v>0</v>
      </c>
      <c r="CJ20" s="24" t="str">
        <f t="shared" ca="1" si="4"/>
        <v/>
      </c>
      <c r="CK20" s="5">
        <f>IF(COUNTIF($B$13:B20,B20)+COUNTIF('入力方法（入院患者）'!$CR$15:$CR$24,B20)=1,1,0)</f>
        <v>0</v>
      </c>
      <c r="CL20" s="1">
        <f>SUM($CK$13:CK20)+$CL$11</f>
        <v>0</v>
      </c>
      <c r="CM20" s="166"/>
      <c r="CN20" s="203" t="str">
        <f>IF('入力方法（入院患者）'!CT22="","",'入力方法（入院患者）'!CT22)</f>
        <v/>
      </c>
      <c r="CO20" s="204" t="str">
        <f>IF(AND(C10&lt;&gt;"新型コロナウイルス感染症",CN20&lt;&gt;""),'入力方法（入院患者）'!CU22,"")</f>
        <v/>
      </c>
      <c r="CP20" s="204" t="str">
        <f t="shared" si="5"/>
        <v/>
      </c>
      <c r="CQ20" s="166"/>
      <c r="CR20" s="166"/>
      <c r="CS20" s="166"/>
      <c r="CT20" s="166"/>
      <c r="CU20" s="166"/>
    </row>
    <row r="21" spans="1:99" s="2" customFormat="1" ht="15" customHeight="1" x14ac:dyDescent="0.15">
      <c r="A21" s="86" t="str">
        <f t="shared" si="7"/>
        <v/>
      </c>
      <c r="B21" s="232"/>
      <c r="C21" s="233"/>
      <c r="D21" s="232"/>
      <c r="E21" s="233"/>
      <c r="F21" s="257"/>
      <c r="G21" s="258"/>
      <c r="H21" s="259"/>
      <c r="I21" s="100"/>
      <c r="J21" s="110"/>
      <c r="K21" s="160"/>
      <c r="L21" s="160"/>
      <c r="M21" s="104"/>
      <c r="N21" s="100"/>
      <c r="O21" s="218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24"/>
      <c r="BW21" s="113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5"/>
      <c r="CI21" s="6" t="b">
        <f t="shared" si="6"/>
        <v>0</v>
      </c>
      <c r="CJ21" s="24" t="str">
        <f t="shared" ca="1" si="4"/>
        <v/>
      </c>
      <c r="CK21" s="5">
        <f>IF(COUNTIF($B$13:B21,B21)+COUNTIF('入力方法（入院患者）'!$CR$15:$CR$24,B21)=1,1,0)</f>
        <v>0</v>
      </c>
      <c r="CL21" s="1">
        <f>SUM($CK$13:CK21)+$CL$11</f>
        <v>0</v>
      </c>
      <c r="CM21" s="166"/>
      <c r="CN21" s="203" t="str">
        <f>IF('入力方法（入院患者）'!CT23="","",'入力方法（入院患者）'!CT23)</f>
        <v/>
      </c>
      <c r="CO21" s="204" t="str">
        <f>IF(AND(C11&lt;&gt;"新型コロナウイルス感染症",CN21&lt;&gt;""),'入力方法（入院患者）'!CU23,"")</f>
        <v/>
      </c>
      <c r="CP21" s="204" t="str">
        <f t="shared" si="5"/>
        <v/>
      </c>
      <c r="CQ21" s="166"/>
      <c r="CR21" s="166"/>
      <c r="CS21" s="166"/>
      <c r="CT21" s="166"/>
      <c r="CU21" s="166"/>
    </row>
    <row r="22" spans="1:99" s="2" customFormat="1" ht="15" customHeight="1" x14ac:dyDescent="0.15">
      <c r="A22" s="86" t="str">
        <f t="shared" si="7"/>
        <v/>
      </c>
      <c r="B22" s="232"/>
      <c r="C22" s="233"/>
      <c r="D22" s="232"/>
      <c r="E22" s="233"/>
      <c r="F22" s="257"/>
      <c r="G22" s="258"/>
      <c r="H22" s="259"/>
      <c r="I22" s="100"/>
      <c r="J22" s="110"/>
      <c r="K22" s="160"/>
      <c r="L22" s="160"/>
      <c r="M22" s="100"/>
      <c r="N22" s="100"/>
      <c r="O22" s="218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24"/>
      <c r="BW22" s="113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5"/>
      <c r="CI22" s="6" t="b">
        <f t="shared" si="6"/>
        <v>0</v>
      </c>
      <c r="CJ22" s="24" t="str">
        <f t="shared" ca="1" si="4"/>
        <v/>
      </c>
      <c r="CK22" s="5">
        <f>IF(COUNTIF($B$13:B22,B22)+COUNTIF('入力方法（入院患者）'!$CR$15:$CR$24,B22)=1,1,0)</f>
        <v>0</v>
      </c>
      <c r="CL22" s="1">
        <f>SUM($CK$13:CK22)+$CL$11</f>
        <v>0</v>
      </c>
      <c r="CM22" s="166"/>
      <c r="CN22" s="203" t="str">
        <f>IF('入力方法（入院患者）'!CT24="","",'入力方法（入院患者）'!CT24)</f>
        <v/>
      </c>
      <c r="CO22" s="204" t="str">
        <f>IF(AND(C12&lt;&gt;"新型コロナウイルス感染症",CN22&lt;&gt;""),'入力方法（入院患者）'!CU24,"")</f>
        <v/>
      </c>
      <c r="CP22" s="204" t="str">
        <f t="shared" si="5"/>
        <v/>
      </c>
      <c r="CQ22" s="166"/>
      <c r="CR22" s="166"/>
      <c r="CS22" s="166"/>
      <c r="CT22" s="166"/>
      <c r="CU22" s="166"/>
    </row>
    <row r="23" spans="1:99" s="2" customFormat="1" ht="15" customHeight="1" x14ac:dyDescent="0.15">
      <c r="A23" s="86" t="str">
        <f t="shared" si="7"/>
        <v/>
      </c>
      <c r="B23" s="232"/>
      <c r="C23" s="233"/>
      <c r="D23" s="232"/>
      <c r="E23" s="233"/>
      <c r="F23" s="257"/>
      <c r="G23" s="258"/>
      <c r="H23" s="259"/>
      <c r="I23" s="100"/>
      <c r="J23" s="110"/>
      <c r="K23" s="160"/>
      <c r="L23" s="160"/>
      <c r="M23" s="100"/>
      <c r="N23" s="100"/>
      <c r="O23" s="218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24"/>
      <c r="BW23" s="113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5"/>
      <c r="CI23" s="6" t="b">
        <f t="shared" si="6"/>
        <v>0</v>
      </c>
      <c r="CJ23" s="24" t="str">
        <f t="shared" ca="1" si="4"/>
        <v/>
      </c>
      <c r="CK23" s="5">
        <f>IF(COUNTIF($B$13:B23,B23)+COUNTIF('入力方法（入院患者）'!$CR$15:$CR$24,B23)=1,1,0)</f>
        <v>0</v>
      </c>
      <c r="CL23" s="1">
        <f>SUM($CK$13:CK23)+$CL$11</f>
        <v>0</v>
      </c>
      <c r="CM23" s="166"/>
      <c r="CN23" s="203" t="str">
        <f>IF('入力方法（入院患者）'!CT25="","",'入力方法（入院患者）'!CT25)</f>
        <v/>
      </c>
      <c r="CO23" s="204" t="str">
        <f>IF(C3&lt;&gt;"新型コロナウイルス感染症",SUM(CO13:CO22),"")</f>
        <v/>
      </c>
      <c r="CP23" s="204" t="str">
        <f>IF(C3&lt;&gt;"新型コロナウイルス感染症",SUM(CP13:CP22),"")</f>
        <v/>
      </c>
      <c r="CQ23" s="166"/>
      <c r="CR23" s="166"/>
      <c r="CS23" s="166"/>
      <c r="CT23" s="166"/>
      <c r="CU23" s="166"/>
    </row>
    <row r="24" spans="1:99" s="2" customFormat="1" ht="15" customHeight="1" x14ac:dyDescent="0.15">
      <c r="A24" s="86" t="str">
        <f t="shared" si="7"/>
        <v/>
      </c>
      <c r="B24" s="232"/>
      <c r="C24" s="233"/>
      <c r="D24" s="232"/>
      <c r="E24" s="233"/>
      <c r="F24" s="257"/>
      <c r="G24" s="258"/>
      <c r="H24" s="259"/>
      <c r="I24" s="100"/>
      <c r="J24" s="110"/>
      <c r="K24" s="160"/>
      <c r="L24" s="160"/>
      <c r="M24" s="100"/>
      <c r="N24" s="100"/>
      <c r="O24" s="218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24"/>
      <c r="BW24" s="113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5"/>
      <c r="CI24" s="6" t="b">
        <f t="shared" si="6"/>
        <v>0</v>
      </c>
      <c r="CJ24" s="24" t="str">
        <f t="shared" ca="1" si="4"/>
        <v/>
      </c>
      <c r="CK24" s="5">
        <f>IF(COUNTIF($B$13:B24,B24)+COUNTIF('入力方法（入院患者）'!$CR$15:$CR$24,B24)=1,1,0)</f>
        <v>0</v>
      </c>
      <c r="CL24" s="1">
        <f>SUM($CK$13:CK24)+$CL$11</f>
        <v>0</v>
      </c>
      <c r="CM24" s="166"/>
      <c r="CN24" s="166" t="str">
        <f>IF(C3="新型コロナウイルス感染症","入力内容から発生人数を算出しています。WEB報告の参考としてください。","")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O24" s="166"/>
      <c r="CP24" s="166"/>
      <c r="CQ24" s="166"/>
      <c r="CR24" s="166"/>
      <c r="CS24" s="203"/>
      <c r="CT24" s="203"/>
      <c r="CU24" s="166"/>
    </row>
    <row r="25" spans="1:99" s="2" customFormat="1" ht="15" customHeight="1" x14ac:dyDescent="0.15">
      <c r="A25" s="86" t="str">
        <f t="shared" si="7"/>
        <v/>
      </c>
      <c r="B25" s="232"/>
      <c r="C25" s="233"/>
      <c r="D25" s="232"/>
      <c r="E25" s="233"/>
      <c r="F25" s="257"/>
      <c r="G25" s="258"/>
      <c r="H25" s="259"/>
      <c r="I25" s="102"/>
      <c r="J25" s="160"/>
      <c r="K25" s="160"/>
      <c r="L25" s="160"/>
      <c r="M25" s="104"/>
      <c r="N25" s="102"/>
      <c r="O25" s="217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23"/>
      <c r="BW25" s="113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5"/>
      <c r="CI25" s="6" t="b">
        <f t="shared" si="6"/>
        <v>0</v>
      </c>
      <c r="CJ25" s="24" t="str">
        <f t="shared" ca="1" si="4"/>
        <v/>
      </c>
      <c r="CK25" s="5">
        <f>IF(COUNTIF($B$13:B25,B25)+COUNTIF('入力方法（入院患者）'!$CR$15:$CR$24,B25)=1,1,0)</f>
        <v>0</v>
      </c>
      <c r="CL25" s="1">
        <f>SUM($CK$13:CK25)+$CL$11</f>
        <v>0</v>
      </c>
      <c r="CM25" s="166"/>
      <c r="CN25" s="166" t="str">
        <f>IF(C3="新型コロナウイルス感染症","○病棟別の陽性者数（累計）","")</f>
        <v>○病棟別の陽性者数（累計）</v>
      </c>
      <c r="CO25" s="166"/>
      <c r="CP25" s="166"/>
      <c r="CQ25" s="166"/>
      <c r="CR25" s="166" t="str">
        <f>IF(C3="新型コロナウイルス感染症","○死亡者数","")</f>
        <v>○死亡者数</v>
      </c>
      <c r="CS25" s="166"/>
      <c r="CT25" s="203"/>
      <c r="CU25" s="166"/>
    </row>
    <row r="26" spans="1:99" s="2" customFormat="1" ht="15" customHeight="1" x14ac:dyDescent="0.15">
      <c r="A26" s="86" t="str">
        <f t="shared" si="7"/>
        <v/>
      </c>
      <c r="B26" s="232"/>
      <c r="C26" s="233"/>
      <c r="D26" s="232"/>
      <c r="E26" s="233"/>
      <c r="F26" s="257"/>
      <c r="G26" s="258"/>
      <c r="H26" s="259"/>
      <c r="I26" s="100"/>
      <c r="J26" s="110"/>
      <c r="K26" s="160"/>
      <c r="L26" s="160"/>
      <c r="M26" s="100"/>
      <c r="N26" s="100"/>
      <c r="O26" s="218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24"/>
      <c r="BW26" s="113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5"/>
      <c r="CI26" s="6" t="b">
        <f t="shared" si="6"/>
        <v>0</v>
      </c>
      <c r="CJ26" s="24" t="str">
        <f t="shared" ca="1" si="4"/>
        <v/>
      </c>
      <c r="CK26" s="5">
        <f>IF(COUNTIF($B$13:B26,B26)+COUNTIF('入力方法（入院患者）'!$CR$15:$CR$24,B26)=1,1,0)</f>
        <v>0</v>
      </c>
      <c r="CL26" s="1">
        <f>SUM($CK$13:CK26)+$CL$11</f>
        <v>0</v>
      </c>
      <c r="CM26" s="166"/>
      <c r="CN26" s="166"/>
      <c r="CO26" s="203" t="str">
        <f>IF('入力方法（入院患者）'!CU28="","",'入力方法（入院患者）'!CU28)</f>
        <v>入院患者</v>
      </c>
      <c r="CP26" s="203" t="str">
        <f>IF('入力方法（入院患者）'!CV28="","",'入力方法（入院患者）'!CV28)</f>
        <v>職員</v>
      </c>
      <c r="CQ26" s="166"/>
      <c r="CR26" s="166"/>
      <c r="CS26" s="203" t="str">
        <f>IF(C3="新型コロナウイルス感染症","入院患者","")</f>
        <v>入院患者</v>
      </c>
      <c r="CT26" s="203" t="str">
        <f>IF(C3="新型コロナウイルス感染症","職員","")</f>
        <v>職員</v>
      </c>
      <c r="CU26" s="166"/>
    </row>
    <row r="27" spans="1:99" x14ac:dyDescent="0.15">
      <c r="A27" s="86" t="str">
        <f t="shared" si="7"/>
        <v/>
      </c>
      <c r="B27" s="232"/>
      <c r="C27" s="233"/>
      <c r="D27" s="232"/>
      <c r="E27" s="233"/>
      <c r="F27" s="257"/>
      <c r="G27" s="258"/>
      <c r="H27" s="259"/>
      <c r="I27" s="102"/>
      <c r="J27" s="102"/>
      <c r="K27" s="160"/>
      <c r="L27" s="160"/>
      <c r="M27" s="100"/>
      <c r="N27" s="102"/>
      <c r="O27" s="217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23"/>
      <c r="BW27" s="113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5"/>
      <c r="CI27" s="6" t="b">
        <f t="shared" si="6"/>
        <v>0</v>
      </c>
      <c r="CJ27" s="24" t="str">
        <f t="shared" ca="1" si="4"/>
        <v/>
      </c>
      <c r="CK27" s="5">
        <f>IF(COUNTIF($B$13:B27,B27)+COUNTIF('入力方法（入院患者）'!$CR$15:$CR$24,B27)=1,1,0)</f>
        <v>0</v>
      </c>
      <c r="CL27" s="1">
        <f>SUM($CK$13:CK27)+$CL$11</f>
        <v>0</v>
      </c>
      <c r="CN27" s="203" t="str">
        <f>IF('入力方法（入院患者）'!CT29="","",'入力方法（入院患者）'!CT29)</f>
        <v>東病棟</v>
      </c>
      <c r="CO27" s="166">
        <f>IF('入力方法（入院患者）'!CU29="","",'入力方法（入院患者）'!CU29)</f>
        <v>5</v>
      </c>
      <c r="CP27" s="166">
        <f t="shared" ref="CP27:CP36" si="8">IF(AND($C$3="新型コロナウイルス感染症",CN27&lt;&gt;""),COUNTIFS(B:B,CN27,K:K,"陽性"),"")</f>
        <v>5</v>
      </c>
      <c r="CR27" s="166" t="str">
        <f>IF(C3="新型コロナウイルス感染症","死亡者数（累計）","")</f>
        <v>死亡者数（累計）</v>
      </c>
      <c r="CS27" s="166">
        <f>IF('入力方法（入院患者）'!CY29="","",'入力方法（入院患者）'!CY29)</f>
        <v>0</v>
      </c>
      <c r="CT27" s="203" t="str">
        <f t="shared" ref="CT27" si="9">IF($C$3="新型コロナウイルス感染症","ー","")</f>
        <v>ー</v>
      </c>
    </row>
    <row r="28" spans="1:99" x14ac:dyDescent="0.15">
      <c r="A28" s="86" t="str">
        <f t="shared" si="7"/>
        <v/>
      </c>
      <c r="B28" s="232"/>
      <c r="C28" s="233"/>
      <c r="D28" s="232"/>
      <c r="E28" s="233"/>
      <c r="F28" s="257"/>
      <c r="G28" s="258"/>
      <c r="H28" s="259"/>
      <c r="I28" s="153"/>
      <c r="J28" s="153"/>
      <c r="K28" s="160"/>
      <c r="L28" s="160"/>
      <c r="M28" s="104"/>
      <c r="N28" s="102"/>
      <c r="O28" s="217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23"/>
      <c r="BW28" s="113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5"/>
      <c r="CI28" s="6" t="b">
        <f t="shared" si="6"/>
        <v>0</v>
      </c>
      <c r="CJ28" s="24" t="str">
        <f t="shared" ca="1" si="4"/>
        <v/>
      </c>
      <c r="CK28" s="5">
        <f>IF(COUNTIF($B$13:B28,B28)+COUNTIF('入力方法（入院患者）'!$CR$15:$CR$24,B28)=1,1,0)</f>
        <v>0</v>
      </c>
      <c r="CL28" s="1">
        <f>SUM($CK$13:CK28)+$CL$11</f>
        <v>0</v>
      </c>
      <c r="CN28" s="203" t="str">
        <f>IF('入力方法（入院患者）'!CT30="","",'入力方法（入院患者）'!CT30)</f>
        <v/>
      </c>
      <c r="CO28" s="166" t="str">
        <f>IF('入力方法（入院患者）'!CU30="","",'入力方法（入院患者）'!CU30)</f>
        <v/>
      </c>
      <c r="CP28" s="166" t="str">
        <f t="shared" si="8"/>
        <v/>
      </c>
    </row>
    <row r="29" spans="1:99" x14ac:dyDescent="0.15">
      <c r="A29" s="86" t="str">
        <f t="shared" si="7"/>
        <v/>
      </c>
      <c r="B29" s="232"/>
      <c r="C29" s="233"/>
      <c r="D29" s="232"/>
      <c r="E29" s="233"/>
      <c r="F29" s="257"/>
      <c r="G29" s="258"/>
      <c r="H29" s="259"/>
      <c r="I29" s="153"/>
      <c r="J29" s="153"/>
      <c r="K29" s="160"/>
      <c r="L29" s="160"/>
      <c r="M29" s="100"/>
      <c r="N29" s="102"/>
      <c r="O29" s="217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23"/>
      <c r="BW29" s="113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5"/>
      <c r="CI29" s="6" t="b">
        <f t="shared" si="6"/>
        <v>0</v>
      </c>
      <c r="CJ29" s="24" t="str">
        <f t="shared" ca="1" si="4"/>
        <v/>
      </c>
      <c r="CK29" s="5">
        <f>IF(COUNTIF($B$13:B29,B29)+COUNTIF('入力方法（入院患者）'!$CR$15:$CR$24,B29)=1,1,0)</f>
        <v>0</v>
      </c>
      <c r="CL29" s="1">
        <f>SUM($CK$13:CK29)+$CL$11</f>
        <v>0</v>
      </c>
      <c r="CN29" s="203" t="str">
        <f>IF('入力方法（入院患者）'!CT31="","",'入力方法（入院患者）'!CT31)</f>
        <v/>
      </c>
      <c r="CO29" s="166" t="str">
        <f>IF('入力方法（入院患者）'!CU31="","",'入力方法（入院患者）'!CU31)</f>
        <v/>
      </c>
      <c r="CP29" s="166" t="str">
        <f t="shared" si="8"/>
        <v/>
      </c>
    </row>
    <row r="30" spans="1:99" x14ac:dyDescent="0.15">
      <c r="A30" s="86" t="str">
        <f t="shared" si="7"/>
        <v/>
      </c>
      <c r="B30" s="232"/>
      <c r="C30" s="233"/>
      <c r="D30" s="232"/>
      <c r="E30" s="233"/>
      <c r="F30" s="257"/>
      <c r="G30" s="258"/>
      <c r="H30" s="259"/>
      <c r="I30" s="153"/>
      <c r="J30" s="153"/>
      <c r="K30" s="160"/>
      <c r="L30" s="160"/>
      <c r="M30" s="100"/>
      <c r="N30" s="102"/>
      <c r="O30" s="217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23"/>
      <c r="BW30" s="113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5"/>
      <c r="CI30" s="6" t="b">
        <f t="shared" si="6"/>
        <v>0</v>
      </c>
      <c r="CJ30" s="24" t="str">
        <f t="shared" ca="1" si="4"/>
        <v/>
      </c>
      <c r="CK30" s="5">
        <f>IF(COUNTIF($B$13:B30,B30)+COUNTIF('入力方法（入院患者）'!$CR$15:$CR$24,B30)=1,1,0)</f>
        <v>0</v>
      </c>
      <c r="CL30" s="1">
        <f>SUM($CK$13:CK30)+$CL$11</f>
        <v>0</v>
      </c>
      <c r="CN30" s="203" t="str">
        <f>IF('入力方法（入院患者）'!CT32="","",'入力方法（入院患者）'!CT32)</f>
        <v/>
      </c>
      <c r="CO30" s="166" t="str">
        <f>IF('入力方法（入院患者）'!CU32="","",'入力方法（入院患者）'!CU32)</f>
        <v/>
      </c>
      <c r="CP30" s="166" t="str">
        <f t="shared" si="8"/>
        <v/>
      </c>
    </row>
    <row r="31" spans="1:99" x14ac:dyDescent="0.15">
      <c r="A31" s="86" t="str">
        <f t="shared" si="7"/>
        <v/>
      </c>
      <c r="B31" s="232"/>
      <c r="C31" s="233"/>
      <c r="D31" s="232"/>
      <c r="E31" s="233"/>
      <c r="F31" s="257"/>
      <c r="G31" s="258"/>
      <c r="H31" s="259"/>
      <c r="I31" s="153"/>
      <c r="J31" s="153"/>
      <c r="K31" s="160"/>
      <c r="L31" s="160"/>
      <c r="M31" s="100"/>
      <c r="N31" s="102"/>
      <c r="O31" s="217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23"/>
      <c r="BW31" s="113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5"/>
      <c r="CI31" s="6" t="b">
        <f t="shared" si="6"/>
        <v>0</v>
      </c>
      <c r="CJ31" s="24" t="str">
        <f t="shared" ca="1" si="4"/>
        <v/>
      </c>
      <c r="CK31" s="5">
        <f>IF(COUNTIF($B$13:B31,B31)+COUNTIF('入力方法（入院患者）'!$CR$15:$CR$24,B31)=1,1,0)</f>
        <v>0</v>
      </c>
      <c r="CL31" s="1">
        <f>SUM($CK$13:CK31)+$CL$11</f>
        <v>0</v>
      </c>
      <c r="CN31" s="203" t="str">
        <f>IF('入力方法（入院患者）'!CT33="","",'入力方法（入院患者）'!CT33)</f>
        <v/>
      </c>
      <c r="CO31" s="166" t="str">
        <f>IF('入力方法（入院患者）'!CU33="","",'入力方法（入院患者）'!CU33)</f>
        <v/>
      </c>
      <c r="CP31" s="166" t="str">
        <f t="shared" si="8"/>
        <v/>
      </c>
    </row>
    <row r="32" spans="1:99" x14ac:dyDescent="0.15">
      <c r="A32" s="86" t="str">
        <f t="shared" si="7"/>
        <v/>
      </c>
      <c r="B32" s="232"/>
      <c r="C32" s="233"/>
      <c r="D32" s="232"/>
      <c r="E32" s="233"/>
      <c r="F32" s="257"/>
      <c r="G32" s="258"/>
      <c r="H32" s="259"/>
      <c r="I32" s="153"/>
      <c r="J32" s="153"/>
      <c r="K32" s="160"/>
      <c r="L32" s="160"/>
      <c r="M32" s="100"/>
      <c r="N32" s="102"/>
      <c r="O32" s="217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23"/>
      <c r="BW32" s="113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5"/>
      <c r="CI32" s="6" t="b">
        <f t="shared" si="6"/>
        <v>0</v>
      </c>
      <c r="CJ32" s="24" t="str">
        <f t="shared" ca="1" si="4"/>
        <v/>
      </c>
      <c r="CK32" s="5">
        <f>IF(COUNTIF($B$13:B32,B32)+COUNTIF('入力方法（入院患者）'!$CR$15:$CR$24,B32)=1,1,0)</f>
        <v>0</v>
      </c>
      <c r="CL32" s="1">
        <f>SUM($CK$13:CK32)+$CL$11</f>
        <v>0</v>
      </c>
      <c r="CN32" s="203" t="str">
        <f>IF('入力方法（入院患者）'!CT34="","",'入力方法（入院患者）'!CT34)</f>
        <v/>
      </c>
      <c r="CO32" s="166" t="str">
        <f>IF('入力方法（入院患者）'!CU34="","",'入力方法（入院患者）'!CU34)</f>
        <v/>
      </c>
      <c r="CP32" s="166" t="str">
        <f t="shared" si="8"/>
        <v/>
      </c>
    </row>
    <row r="33" spans="1:94" x14ac:dyDescent="0.15">
      <c r="A33" s="86" t="str">
        <f t="shared" si="7"/>
        <v/>
      </c>
      <c r="B33" s="232"/>
      <c r="C33" s="233"/>
      <c r="D33" s="232"/>
      <c r="E33" s="233"/>
      <c r="F33" s="257"/>
      <c r="G33" s="258"/>
      <c r="H33" s="259"/>
      <c r="I33" s="153"/>
      <c r="J33" s="153"/>
      <c r="K33" s="160"/>
      <c r="L33" s="160"/>
      <c r="M33" s="100"/>
      <c r="N33" s="102"/>
      <c r="O33" s="217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23"/>
      <c r="BW33" s="113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5"/>
      <c r="CI33" s="6" t="b">
        <f t="shared" si="6"/>
        <v>0</v>
      </c>
      <c r="CJ33" s="24" t="str">
        <f t="shared" ca="1" si="4"/>
        <v/>
      </c>
      <c r="CK33" s="5">
        <f>IF(COUNTIF($B$13:B33,B33)+COUNTIF('入力方法（入院患者）'!$CR$15:$CR$24,B33)=1,1,0)</f>
        <v>0</v>
      </c>
      <c r="CL33" s="1">
        <f>SUM($CK$13:CK33)+$CL$11</f>
        <v>0</v>
      </c>
      <c r="CN33" s="203" t="str">
        <f>IF('入力方法（入院患者）'!CT35="","",'入力方法（入院患者）'!CT35)</f>
        <v/>
      </c>
      <c r="CO33" s="166" t="str">
        <f>IF('入力方法（入院患者）'!CU35="","",'入力方法（入院患者）'!CU35)</f>
        <v/>
      </c>
      <c r="CP33" s="166" t="str">
        <f t="shared" si="8"/>
        <v/>
      </c>
    </row>
    <row r="34" spans="1:94" x14ac:dyDescent="0.15">
      <c r="A34" s="86" t="str">
        <f t="shared" si="7"/>
        <v/>
      </c>
      <c r="B34" s="232"/>
      <c r="C34" s="233"/>
      <c r="D34" s="232"/>
      <c r="E34" s="233"/>
      <c r="F34" s="257"/>
      <c r="G34" s="258"/>
      <c r="H34" s="259"/>
      <c r="I34" s="153"/>
      <c r="J34" s="153"/>
      <c r="K34" s="160"/>
      <c r="L34" s="160"/>
      <c r="M34" s="100"/>
      <c r="N34" s="102"/>
      <c r="O34" s="217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23"/>
      <c r="BW34" s="113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5"/>
      <c r="CI34" s="6" t="b">
        <f t="shared" si="6"/>
        <v>0</v>
      </c>
      <c r="CJ34" s="24" t="str">
        <f t="shared" ca="1" si="4"/>
        <v/>
      </c>
      <c r="CK34" s="5">
        <f>IF(COUNTIF($B$13:B34,B34)+COUNTIF('入力方法（入院患者）'!$CR$15:$CR$24,B34)=1,1,0)</f>
        <v>0</v>
      </c>
      <c r="CL34" s="1">
        <f>SUM($CK$13:CK34)+$CL$11</f>
        <v>0</v>
      </c>
      <c r="CN34" s="203" t="str">
        <f>IF('入力方法（入院患者）'!CT36="","",'入力方法（入院患者）'!CT36)</f>
        <v/>
      </c>
      <c r="CO34" s="166" t="str">
        <f>IF('入力方法（入院患者）'!CU36="","",'入力方法（入院患者）'!CU36)</f>
        <v/>
      </c>
      <c r="CP34" s="166" t="str">
        <f t="shared" si="8"/>
        <v/>
      </c>
    </row>
    <row r="35" spans="1:94" x14ac:dyDescent="0.15">
      <c r="A35" s="86" t="str">
        <f t="shared" si="7"/>
        <v/>
      </c>
      <c r="B35" s="232"/>
      <c r="C35" s="233"/>
      <c r="D35" s="232"/>
      <c r="E35" s="233"/>
      <c r="F35" s="257"/>
      <c r="G35" s="258"/>
      <c r="H35" s="259"/>
      <c r="I35" s="153"/>
      <c r="J35" s="153"/>
      <c r="K35" s="160"/>
      <c r="L35" s="160"/>
      <c r="M35" s="100"/>
      <c r="N35" s="102"/>
      <c r="O35" s="217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23"/>
      <c r="BW35" s="113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5"/>
      <c r="CI35" s="6" t="b">
        <f t="shared" si="6"/>
        <v>0</v>
      </c>
      <c r="CJ35" s="24" t="str">
        <f t="shared" ca="1" si="4"/>
        <v/>
      </c>
      <c r="CK35" s="5">
        <f>IF(COUNTIF($B$13:B35,B35)+COUNTIF('入力方法（入院患者）'!$CR$15:$CR$24,B35)=1,1,0)</f>
        <v>0</v>
      </c>
      <c r="CL35" s="1">
        <f>SUM($CK$13:CK35)+$CL$11</f>
        <v>0</v>
      </c>
      <c r="CN35" s="203" t="str">
        <f>IF('入力方法（入院患者）'!CT37="","",'入力方法（入院患者）'!CT37)</f>
        <v/>
      </c>
      <c r="CO35" s="166" t="str">
        <f>IF('入力方法（入院患者）'!CU37="","",'入力方法（入院患者）'!CU37)</f>
        <v/>
      </c>
      <c r="CP35" s="166" t="str">
        <f t="shared" si="8"/>
        <v/>
      </c>
    </row>
    <row r="36" spans="1:94" x14ac:dyDescent="0.15">
      <c r="A36" s="86" t="str">
        <f t="shared" si="7"/>
        <v/>
      </c>
      <c r="B36" s="232"/>
      <c r="C36" s="233"/>
      <c r="D36" s="232"/>
      <c r="E36" s="233"/>
      <c r="F36" s="257"/>
      <c r="G36" s="258"/>
      <c r="H36" s="259"/>
      <c r="I36" s="153"/>
      <c r="J36" s="153"/>
      <c r="K36" s="160"/>
      <c r="L36" s="160"/>
      <c r="M36" s="100"/>
      <c r="N36" s="102"/>
      <c r="O36" s="217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23"/>
      <c r="BW36" s="113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5"/>
      <c r="CI36" s="6" t="b">
        <f t="shared" si="6"/>
        <v>0</v>
      </c>
      <c r="CJ36" s="24" t="str">
        <f t="shared" ca="1" si="4"/>
        <v/>
      </c>
      <c r="CK36" s="5">
        <f>IF(COUNTIF($B$13:B36,B36)+COUNTIF('入力方法（入院患者）'!$CR$15:$CR$24,B36)=1,1,0)</f>
        <v>0</v>
      </c>
      <c r="CL36" s="1">
        <f>SUM($CK$13:CK36)+$CL$11</f>
        <v>0</v>
      </c>
      <c r="CN36" s="203" t="str">
        <f>IF('入力方法（入院患者）'!CT38="","",'入力方法（入院患者）'!CT38)</f>
        <v/>
      </c>
      <c r="CO36" s="166" t="str">
        <f>IF('入力方法（入院患者）'!CU38="","",'入力方法（入院患者）'!CU38)</f>
        <v/>
      </c>
      <c r="CP36" s="166" t="str">
        <f t="shared" si="8"/>
        <v/>
      </c>
    </row>
    <row r="37" spans="1:94" x14ac:dyDescent="0.15">
      <c r="A37" s="86" t="str">
        <f t="shared" si="7"/>
        <v/>
      </c>
      <c r="B37" s="232"/>
      <c r="C37" s="233"/>
      <c r="D37" s="232"/>
      <c r="E37" s="233"/>
      <c r="F37" s="257"/>
      <c r="G37" s="258"/>
      <c r="H37" s="259"/>
      <c r="I37" s="153"/>
      <c r="J37" s="153"/>
      <c r="K37" s="160"/>
      <c r="L37" s="160"/>
      <c r="M37" s="100"/>
      <c r="N37" s="102"/>
      <c r="O37" s="217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23"/>
      <c r="BW37" s="113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5"/>
      <c r="CI37" s="6" t="b">
        <f t="shared" si="6"/>
        <v>0</v>
      </c>
      <c r="CJ37" s="24" t="str">
        <f t="shared" ca="1" si="4"/>
        <v/>
      </c>
      <c r="CK37" s="5">
        <f>IF(COUNTIF($B$13:B37,B37)+COUNTIF('入力方法（入院患者）'!$CR$15:$CR$24,B37)=1,1,0)</f>
        <v>0</v>
      </c>
      <c r="CL37" s="1">
        <f>SUM($CK$13:CK37)+$CL$11</f>
        <v>0</v>
      </c>
      <c r="CN37" s="203" t="str">
        <f>IF('入力方法（入院患者）'!CT39="","",'入力方法（入院患者）'!CT39)</f>
        <v>計</v>
      </c>
      <c r="CO37" s="166">
        <f>IF('入力方法（入院患者）'!CU39="","",'入力方法（入院患者）'!CU39)</f>
        <v>5</v>
      </c>
      <c r="CP37" s="166">
        <f>IF('入力方法（入院患者）'!CV39="","",'入力方法（入院患者）'!CV39)</f>
        <v>5</v>
      </c>
    </row>
    <row r="38" spans="1:94" x14ac:dyDescent="0.15">
      <c r="A38" s="86" t="str">
        <f t="shared" si="7"/>
        <v/>
      </c>
      <c r="B38" s="232"/>
      <c r="C38" s="233"/>
      <c r="D38" s="232"/>
      <c r="E38" s="233"/>
      <c r="F38" s="257"/>
      <c r="G38" s="258"/>
      <c r="H38" s="259"/>
      <c r="I38" s="153"/>
      <c r="J38" s="153"/>
      <c r="K38" s="160"/>
      <c r="L38" s="160"/>
      <c r="M38" s="100"/>
      <c r="N38" s="102"/>
      <c r="O38" s="217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23"/>
      <c r="BW38" s="113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5"/>
      <c r="CI38" s="6" t="b">
        <f t="shared" si="6"/>
        <v>0</v>
      </c>
      <c r="CJ38" s="24" t="str">
        <f t="shared" ca="1" si="4"/>
        <v/>
      </c>
      <c r="CK38" s="5">
        <f>IF(COUNTIF($B$13:B38,B38)+COUNTIF('入力方法（入院患者）'!$CR$15:$CR$24,B38)=1,1,0)</f>
        <v>0</v>
      </c>
      <c r="CL38" s="1">
        <f>SUM($CK$13:CK38)+$CL$11</f>
        <v>0</v>
      </c>
    </row>
    <row r="39" spans="1:94" x14ac:dyDescent="0.15">
      <c r="A39" s="86" t="str">
        <f t="shared" si="7"/>
        <v/>
      </c>
      <c r="B39" s="232"/>
      <c r="C39" s="233"/>
      <c r="D39" s="232"/>
      <c r="E39" s="233"/>
      <c r="F39" s="257"/>
      <c r="G39" s="258"/>
      <c r="H39" s="259"/>
      <c r="I39" s="153"/>
      <c r="J39" s="153"/>
      <c r="K39" s="160"/>
      <c r="L39" s="160"/>
      <c r="M39" s="100"/>
      <c r="N39" s="102"/>
      <c r="O39" s="217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23"/>
      <c r="BW39" s="113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5"/>
      <c r="CI39" s="6" t="b">
        <f t="shared" si="6"/>
        <v>0</v>
      </c>
      <c r="CJ39" s="24" t="str">
        <f t="shared" ca="1" si="4"/>
        <v/>
      </c>
      <c r="CK39" s="5">
        <f>IF(COUNTIF($B$13:B39,B39)+COUNTIF('入力方法（入院患者）'!$CR$15:$CR$24,B39)=1,1,0)</f>
        <v>0</v>
      </c>
      <c r="CL39" s="1">
        <f>SUM($CK$13:CK39)+$CL$11</f>
        <v>0</v>
      </c>
    </row>
    <row r="40" spans="1:94" x14ac:dyDescent="0.15">
      <c r="A40" s="86" t="str">
        <f t="shared" si="7"/>
        <v/>
      </c>
      <c r="B40" s="232"/>
      <c r="C40" s="233"/>
      <c r="D40" s="232"/>
      <c r="E40" s="233"/>
      <c r="F40" s="257"/>
      <c r="G40" s="258"/>
      <c r="H40" s="259"/>
      <c r="I40" s="153"/>
      <c r="J40" s="153"/>
      <c r="K40" s="160"/>
      <c r="L40" s="160"/>
      <c r="M40" s="100"/>
      <c r="N40" s="102"/>
      <c r="O40" s="217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23"/>
      <c r="BW40" s="113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5"/>
      <c r="CI40" s="6" t="b">
        <f t="shared" si="6"/>
        <v>0</v>
      </c>
      <c r="CJ40" s="24" t="str">
        <f t="shared" ca="1" si="4"/>
        <v/>
      </c>
      <c r="CK40" s="5">
        <f>IF(COUNTIF($B$13:B40,B40)+COUNTIF('入力方法（入院患者）'!$CR$15:$CR$24,B40)=1,1,0)</f>
        <v>0</v>
      </c>
      <c r="CL40" s="1">
        <f>SUM($CK$13:CK40)+$CL$11</f>
        <v>0</v>
      </c>
    </row>
    <row r="41" spans="1:94" x14ac:dyDescent="0.15">
      <c r="A41" s="86" t="str">
        <f t="shared" si="7"/>
        <v/>
      </c>
      <c r="B41" s="232"/>
      <c r="C41" s="233"/>
      <c r="D41" s="232"/>
      <c r="E41" s="233"/>
      <c r="F41" s="257"/>
      <c r="G41" s="258"/>
      <c r="H41" s="259"/>
      <c r="I41" s="153"/>
      <c r="J41" s="153"/>
      <c r="K41" s="160"/>
      <c r="L41" s="160"/>
      <c r="M41" s="100"/>
      <c r="N41" s="102"/>
      <c r="O41" s="217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23"/>
      <c r="BW41" s="113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5"/>
      <c r="CI41" s="6" t="b">
        <f t="shared" si="6"/>
        <v>0</v>
      </c>
      <c r="CJ41" s="24" t="str">
        <f t="shared" ca="1" si="4"/>
        <v/>
      </c>
      <c r="CK41" s="5">
        <f>IF(COUNTIF($B$13:B41,B41)+COUNTIF('入力方法（入院患者）'!$CR$15:$CR$24,B41)=1,1,0)</f>
        <v>0</v>
      </c>
      <c r="CL41" s="1">
        <f>SUM($CK$13:CK41)+$CL$11</f>
        <v>0</v>
      </c>
    </row>
    <row r="42" spans="1:94" x14ac:dyDescent="0.15">
      <c r="A42" s="86" t="str">
        <f t="shared" si="7"/>
        <v/>
      </c>
      <c r="B42" s="232"/>
      <c r="C42" s="233"/>
      <c r="D42" s="232"/>
      <c r="E42" s="233"/>
      <c r="F42" s="257"/>
      <c r="G42" s="258"/>
      <c r="H42" s="259"/>
      <c r="I42" s="153"/>
      <c r="J42" s="153"/>
      <c r="K42" s="160"/>
      <c r="L42" s="160"/>
      <c r="M42" s="100"/>
      <c r="N42" s="102"/>
      <c r="O42" s="217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23"/>
      <c r="BW42" s="113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5"/>
      <c r="CI42" s="6" t="b">
        <f t="shared" si="6"/>
        <v>0</v>
      </c>
      <c r="CJ42" s="24" t="str">
        <f t="shared" ca="1" si="4"/>
        <v/>
      </c>
      <c r="CK42" s="5">
        <f>IF(COUNTIF($B$13:B42,B42)+COUNTIF('入力方法（入院患者）'!$CR$15:$CR$24,B42)=1,1,0)</f>
        <v>0</v>
      </c>
      <c r="CL42" s="1">
        <f>SUM($CK$13:CK42)+$CL$11</f>
        <v>0</v>
      </c>
    </row>
    <row r="43" spans="1:94" x14ac:dyDescent="0.15">
      <c r="A43" s="86" t="str">
        <f t="shared" si="7"/>
        <v/>
      </c>
      <c r="B43" s="232"/>
      <c r="C43" s="233"/>
      <c r="D43" s="232"/>
      <c r="E43" s="233"/>
      <c r="F43" s="257"/>
      <c r="G43" s="258"/>
      <c r="H43" s="259"/>
      <c r="I43" s="153"/>
      <c r="J43" s="153"/>
      <c r="K43" s="160"/>
      <c r="L43" s="160"/>
      <c r="M43" s="100"/>
      <c r="N43" s="102"/>
      <c r="O43" s="217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23"/>
      <c r="BW43" s="113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5"/>
      <c r="CI43" s="6" t="b">
        <f t="shared" si="6"/>
        <v>0</v>
      </c>
      <c r="CJ43" s="24" t="str">
        <f t="shared" ca="1" si="4"/>
        <v/>
      </c>
      <c r="CK43" s="5">
        <f>IF(COUNTIF($B$13:B43,B43)+COUNTIF('入力方法（入院患者）'!$CR$15:$CR$24,B43)=1,1,0)</f>
        <v>0</v>
      </c>
      <c r="CL43" s="1">
        <f>SUM($CK$13:CK43)+$CL$11</f>
        <v>0</v>
      </c>
    </row>
    <row r="44" spans="1:94" x14ac:dyDescent="0.15">
      <c r="A44" s="86" t="str">
        <f t="shared" si="7"/>
        <v/>
      </c>
      <c r="B44" s="232"/>
      <c r="C44" s="233"/>
      <c r="D44" s="232"/>
      <c r="E44" s="233"/>
      <c r="F44" s="257"/>
      <c r="G44" s="258"/>
      <c r="H44" s="259"/>
      <c r="I44" s="153"/>
      <c r="J44" s="153"/>
      <c r="K44" s="160"/>
      <c r="L44" s="160"/>
      <c r="M44" s="100"/>
      <c r="N44" s="102"/>
      <c r="O44" s="217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23"/>
      <c r="BW44" s="113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5"/>
      <c r="CI44" s="6" t="b">
        <f t="shared" si="6"/>
        <v>0</v>
      </c>
      <c r="CJ44" s="24" t="str">
        <f t="shared" ca="1" si="4"/>
        <v/>
      </c>
      <c r="CK44" s="5">
        <f>IF(COUNTIF($B$13:B44,B44)+COUNTIF('入力方法（入院患者）'!$CR$15:$CR$24,B44)=1,1,0)</f>
        <v>0</v>
      </c>
      <c r="CL44" s="1">
        <f>SUM($CK$13:CK44)+$CL$11</f>
        <v>0</v>
      </c>
    </row>
    <row r="45" spans="1:94" x14ac:dyDescent="0.15">
      <c r="A45" s="86" t="str">
        <f t="shared" si="7"/>
        <v/>
      </c>
      <c r="B45" s="232"/>
      <c r="C45" s="233"/>
      <c r="D45" s="232"/>
      <c r="E45" s="233"/>
      <c r="F45" s="257"/>
      <c r="G45" s="258"/>
      <c r="H45" s="259"/>
      <c r="I45" s="153"/>
      <c r="J45" s="153"/>
      <c r="K45" s="160"/>
      <c r="L45" s="160"/>
      <c r="M45" s="100"/>
      <c r="N45" s="102"/>
      <c r="O45" s="217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23"/>
      <c r="BW45" s="113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5"/>
      <c r="CI45" s="6" t="b">
        <f t="shared" si="6"/>
        <v>0</v>
      </c>
      <c r="CJ45" s="24" t="str">
        <f t="shared" ref="CJ45:CJ77" ca="1" si="10">IFERROR(OFFSET($O$9,0,MATCH("○",O45:BV45,0)-1,1,1),"")</f>
        <v/>
      </c>
      <c r="CK45" s="5">
        <f>IF(COUNTIF($B$13:B45,B45)+COUNTIF('入力方法（入院患者）'!$CR$15:$CR$24,B45)=1,1,0)</f>
        <v>0</v>
      </c>
      <c r="CL45" s="1">
        <f>SUM($CK$13:CK45)+$CL$11</f>
        <v>0</v>
      </c>
    </row>
    <row r="46" spans="1:94" x14ac:dyDescent="0.15">
      <c r="A46" s="86" t="str">
        <f t="shared" si="7"/>
        <v/>
      </c>
      <c r="B46" s="232"/>
      <c r="C46" s="233"/>
      <c r="D46" s="232"/>
      <c r="E46" s="233"/>
      <c r="F46" s="257"/>
      <c r="G46" s="258"/>
      <c r="H46" s="259"/>
      <c r="I46" s="153"/>
      <c r="J46" s="153"/>
      <c r="K46" s="160"/>
      <c r="L46" s="160"/>
      <c r="M46" s="100"/>
      <c r="N46" s="102"/>
      <c r="O46" s="217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23"/>
      <c r="BW46" s="113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5"/>
      <c r="CI46" s="6" t="b">
        <f t="shared" si="6"/>
        <v>0</v>
      </c>
      <c r="CJ46" s="24" t="str">
        <f t="shared" ca="1" si="10"/>
        <v/>
      </c>
      <c r="CK46" s="5">
        <f>IF(COUNTIF($B$13:B46,B46)+COUNTIF('入力方法（入院患者）'!$CR$15:$CR$24,B46)=1,1,0)</f>
        <v>0</v>
      </c>
      <c r="CL46" s="1">
        <f>SUM($CK$13:CK46)+$CL$11</f>
        <v>0</v>
      </c>
    </row>
    <row r="47" spans="1:94" x14ac:dyDescent="0.15">
      <c r="A47" s="86" t="str">
        <f t="shared" si="7"/>
        <v/>
      </c>
      <c r="B47" s="232"/>
      <c r="C47" s="233"/>
      <c r="D47" s="232"/>
      <c r="E47" s="233"/>
      <c r="F47" s="257"/>
      <c r="G47" s="258"/>
      <c r="H47" s="259"/>
      <c r="I47" s="153"/>
      <c r="J47" s="153"/>
      <c r="K47" s="160"/>
      <c r="L47" s="160"/>
      <c r="M47" s="100"/>
      <c r="N47" s="102"/>
      <c r="O47" s="217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23"/>
      <c r="BW47" s="113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5"/>
      <c r="CI47" s="6" t="b">
        <f t="shared" si="6"/>
        <v>0</v>
      </c>
      <c r="CJ47" s="24" t="str">
        <f t="shared" ca="1" si="10"/>
        <v/>
      </c>
      <c r="CK47" s="5">
        <f>IF(COUNTIF($B$13:B47,B47)+COUNTIF('入力方法（入院患者）'!$CR$15:$CR$24,B47)=1,1,0)</f>
        <v>0</v>
      </c>
      <c r="CL47" s="1">
        <f>SUM($CK$13:CK47)+$CL$11</f>
        <v>0</v>
      </c>
    </row>
    <row r="48" spans="1:94" x14ac:dyDescent="0.15">
      <c r="A48" s="86" t="str">
        <f t="shared" si="7"/>
        <v/>
      </c>
      <c r="B48" s="232"/>
      <c r="C48" s="233"/>
      <c r="D48" s="232"/>
      <c r="E48" s="233"/>
      <c r="F48" s="257"/>
      <c r="G48" s="258"/>
      <c r="H48" s="259"/>
      <c r="I48" s="153"/>
      <c r="J48" s="153"/>
      <c r="K48" s="160"/>
      <c r="L48" s="160"/>
      <c r="M48" s="100"/>
      <c r="N48" s="102"/>
      <c r="O48" s="217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23"/>
      <c r="BW48" s="113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5"/>
      <c r="CI48" s="6" t="b">
        <f t="shared" si="6"/>
        <v>0</v>
      </c>
      <c r="CJ48" s="24" t="str">
        <f t="shared" ca="1" si="10"/>
        <v/>
      </c>
      <c r="CK48" s="5">
        <f>IF(COUNTIF($B$13:B48,B48)+COUNTIF('入力方法（入院患者）'!$CR$15:$CR$24,B48)=1,1,0)</f>
        <v>0</v>
      </c>
      <c r="CL48" s="1">
        <f>SUM($CK$13:CK48)+$CL$11</f>
        <v>0</v>
      </c>
    </row>
    <row r="49" spans="1:90" x14ac:dyDescent="0.15">
      <c r="A49" s="86" t="str">
        <f t="shared" si="7"/>
        <v/>
      </c>
      <c r="B49" s="232"/>
      <c r="C49" s="233"/>
      <c r="D49" s="232"/>
      <c r="E49" s="233"/>
      <c r="F49" s="257"/>
      <c r="G49" s="258"/>
      <c r="H49" s="259"/>
      <c r="I49" s="153"/>
      <c r="J49" s="153"/>
      <c r="K49" s="160"/>
      <c r="L49" s="160"/>
      <c r="M49" s="100"/>
      <c r="N49" s="102"/>
      <c r="O49" s="217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23"/>
      <c r="BW49" s="113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5"/>
      <c r="CI49" s="6" t="b">
        <f t="shared" si="6"/>
        <v>0</v>
      </c>
      <c r="CJ49" s="24" t="str">
        <f t="shared" ca="1" si="10"/>
        <v/>
      </c>
      <c r="CK49" s="5">
        <f>IF(COUNTIF($B$13:B49,B49)+COUNTIF('入力方法（入院患者）'!$CR$15:$CR$24,B49)=1,1,0)</f>
        <v>0</v>
      </c>
      <c r="CL49" s="1">
        <f>SUM($CK$13:CK49)+$CL$11</f>
        <v>0</v>
      </c>
    </row>
    <row r="50" spans="1:90" x14ac:dyDescent="0.15">
      <c r="A50" s="86" t="str">
        <f t="shared" si="7"/>
        <v/>
      </c>
      <c r="B50" s="232"/>
      <c r="C50" s="233"/>
      <c r="D50" s="232"/>
      <c r="E50" s="233"/>
      <c r="F50" s="257"/>
      <c r="G50" s="258"/>
      <c r="H50" s="259"/>
      <c r="I50" s="153"/>
      <c r="J50" s="153"/>
      <c r="K50" s="160"/>
      <c r="L50" s="160"/>
      <c r="M50" s="100"/>
      <c r="N50" s="102"/>
      <c r="O50" s="217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23"/>
      <c r="BW50" s="113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5"/>
      <c r="CI50" s="6" t="b">
        <f t="shared" si="6"/>
        <v>0</v>
      </c>
      <c r="CJ50" s="24" t="str">
        <f t="shared" ca="1" si="10"/>
        <v/>
      </c>
      <c r="CK50" s="5">
        <f>IF(COUNTIF($B$13:B50,B50)+COUNTIF('入力方法（入院患者）'!$CR$15:$CR$24,B50)=1,1,0)</f>
        <v>0</v>
      </c>
      <c r="CL50" s="1">
        <f>SUM($CK$13:CK50)+$CL$11</f>
        <v>0</v>
      </c>
    </row>
    <row r="51" spans="1:90" x14ac:dyDescent="0.15">
      <c r="A51" s="86" t="str">
        <f t="shared" si="7"/>
        <v/>
      </c>
      <c r="B51" s="232"/>
      <c r="C51" s="233"/>
      <c r="D51" s="232"/>
      <c r="E51" s="233"/>
      <c r="F51" s="257"/>
      <c r="G51" s="258"/>
      <c r="H51" s="259"/>
      <c r="I51" s="153"/>
      <c r="J51" s="153"/>
      <c r="K51" s="160"/>
      <c r="L51" s="160"/>
      <c r="M51" s="100"/>
      <c r="N51" s="102"/>
      <c r="O51" s="217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23"/>
      <c r="BW51" s="113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5"/>
      <c r="CI51" s="6" t="b">
        <f t="shared" si="6"/>
        <v>0</v>
      </c>
      <c r="CJ51" s="24" t="str">
        <f t="shared" ca="1" si="10"/>
        <v/>
      </c>
      <c r="CK51" s="5">
        <f>IF(COUNTIF($B$13:B51,B51)+COUNTIF('入力方法（入院患者）'!$CR$15:$CR$24,B51)=1,1,0)</f>
        <v>0</v>
      </c>
      <c r="CL51" s="1">
        <f>SUM($CK$13:CK51)+$CL$11</f>
        <v>0</v>
      </c>
    </row>
    <row r="52" spans="1:90" x14ac:dyDescent="0.15">
      <c r="A52" s="86" t="str">
        <f t="shared" si="7"/>
        <v/>
      </c>
      <c r="B52" s="232"/>
      <c r="C52" s="233"/>
      <c r="D52" s="232"/>
      <c r="E52" s="233"/>
      <c r="F52" s="257"/>
      <c r="G52" s="258"/>
      <c r="H52" s="259"/>
      <c r="I52" s="153"/>
      <c r="J52" s="153"/>
      <c r="K52" s="160"/>
      <c r="L52" s="160"/>
      <c r="M52" s="100"/>
      <c r="N52" s="102"/>
      <c r="O52" s="217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23"/>
      <c r="BW52" s="113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5"/>
      <c r="CI52" s="6" t="b">
        <f t="shared" si="6"/>
        <v>0</v>
      </c>
      <c r="CJ52" s="24" t="str">
        <f t="shared" ca="1" si="10"/>
        <v/>
      </c>
      <c r="CK52" s="5">
        <f>IF(COUNTIF($B$13:B52,B52)+COUNTIF('入力方法（入院患者）'!$CR$15:$CR$24,B52)=1,1,0)</f>
        <v>0</v>
      </c>
      <c r="CL52" s="1">
        <f>SUM($CK$13:CK52)+$CL$11</f>
        <v>0</v>
      </c>
    </row>
    <row r="53" spans="1:90" x14ac:dyDescent="0.15">
      <c r="A53" s="86" t="str">
        <f t="shared" si="7"/>
        <v/>
      </c>
      <c r="B53" s="232"/>
      <c r="C53" s="233"/>
      <c r="D53" s="232"/>
      <c r="E53" s="233"/>
      <c r="F53" s="257"/>
      <c r="G53" s="258"/>
      <c r="H53" s="259"/>
      <c r="I53" s="153"/>
      <c r="J53" s="153"/>
      <c r="K53" s="160"/>
      <c r="L53" s="160"/>
      <c r="M53" s="100"/>
      <c r="N53" s="102"/>
      <c r="O53" s="217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23"/>
      <c r="BW53" s="113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5"/>
      <c r="CI53" s="6" t="b">
        <f t="shared" si="6"/>
        <v>0</v>
      </c>
      <c r="CJ53" s="24" t="str">
        <f t="shared" ca="1" si="10"/>
        <v/>
      </c>
      <c r="CK53" s="5">
        <f>IF(COUNTIF($B$13:B53,B53)+COUNTIF('入力方法（入院患者）'!$CR$15:$CR$24,B53)=1,1,0)</f>
        <v>0</v>
      </c>
      <c r="CL53" s="1">
        <f>SUM($CK$13:CK53)+$CL$11</f>
        <v>0</v>
      </c>
    </row>
    <row r="54" spans="1:90" x14ac:dyDescent="0.15">
      <c r="A54" s="86" t="str">
        <f t="shared" si="7"/>
        <v/>
      </c>
      <c r="B54" s="232"/>
      <c r="C54" s="233"/>
      <c r="D54" s="232"/>
      <c r="E54" s="233"/>
      <c r="F54" s="257"/>
      <c r="G54" s="258"/>
      <c r="H54" s="259"/>
      <c r="I54" s="153"/>
      <c r="J54" s="153"/>
      <c r="K54" s="160"/>
      <c r="L54" s="160"/>
      <c r="M54" s="100"/>
      <c r="N54" s="102"/>
      <c r="O54" s="217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23"/>
      <c r="BW54" s="113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5"/>
      <c r="CI54" s="6" t="b">
        <f t="shared" si="6"/>
        <v>0</v>
      </c>
      <c r="CJ54" s="24" t="str">
        <f t="shared" ca="1" si="10"/>
        <v/>
      </c>
      <c r="CK54" s="5">
        <f>IF(COUNTIF($B$13:B54,B54)+COUNTIF('入力方法（入院患者）'!$CR$15:$CR$24,B54)=1,1,0)</f>
        <v>0</v>
      </c>
      <c r="CL54" s="1">
        <f>SUM($CK$13:CK54)+$CL$11</f>
        <v>0</v>
      </c>
    </row>
    <row r="55" spans="1:90" x14ac:dyDescent="0.15">
      <c r="A55" s="86" t="str">
        <f t="shared" si="7"/>
        <v/>
      </c>
      <c r="B55" s="232"/>
      <c r="C55" s="233"/>
      <c r="D55" s="232"/>
      <c r="E55" s="233"/>
      <c r="F55" s="257"/>
      <c r="G55" s="258"/>
      <c r="H55" s="259"/>
      <c r="I55" s="153"/>
      <c r="J55" s="153"/>
      <c r="K55" s="160"/>
      <c r="L55" s="160"/>
      <c r="M55" s="100"/>
      <c r="N55" s="102"/>
      <c r="O55" s="217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23"/>
      <c r="BW55" s="113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5"/>
      <c r="CI55" s="6" t="b">
        <f t="shared" si="6"/>
        <v>0</v>
      </c>
      <c r="CJ55" s="24" t="str">
        <f t="shared" ca="1" si="10"/>
        <v/>
      </c>
      <c r="CK55" s="5">
        <f>IF(COUNTIF($B$13:B55,B55)+COUNTIF('入力方法（入院患者）'!$CR$15:$CR$24,B55)=1,1,0)</f>
        <v>0</v>
      </c>
      <c r="CL55" s="1">
        <f>SUM($CK$13:CK55)+$CL$11</f>
        <v>0</v>
      </c>
    </row>
    <row r="56" spans="1:90" x14ac:dyDescent="0.15">
      <c r="A56" s="86" t="str">
        <f t="shared" si="7"/>
        <v/>
      </c>
      <c r="B56" s="232"/>
      <c r="C56" s="233"/>
      <c r="D56" s="232"/>
      <c r="E56" s="233"/>
      <c r="F56" s="257"/>
      <c r="G56" s="258"/>
      <c r="H56" s="259"/>
      <c r="I56" s="153"/>
      <c r="J56" s="153"/>
      <c r="K56" s="160"/>
      <c r="L56" s="160"/>
      <c r="M56" s="100"/>
      <c r="N56" s="102"/>
      <c r="O56" s="217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23"/>
      <c r="BW56" s="113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5"/>
      <c r="CI56" s="6" t="b">
        <f t="shared" si="6"/>
        <v>0</v>
      </c>
      <c r="CJ56" s="24" t="str">
        <f t="shared" ca="1" si="10"/>
        <v/>
      </c>
      <c r="CK56" s="5">
        <f>IF(COUNTIF($B$13:B56,B56)+COUNTIF('入力方法（入院患者）'!$CR$15:$CR$24,B56)=1,1,0)</f>
        <v>0</v>
      </c>
      <c r="CL56" s="1">
        <f>SUM($CK$13:CK56)+$CL$11</f>
        <v>0</v>
      </c>
    </row>
    <row r="57" spans="1:90" x14ac:dyDescent="0.15">
      <c r="A57" s="86" t="str">
        <f t="shared" si="7"/>
        <v/>
      </c>
      <c r="B57" s="232"/>
      <c r="C57" s="233"/>
      <c r="D57" s="232"/>
      <c r="E57" s="233"/>
      <c r="F57" s="257"/>
      <c r="G57" s="258"/>
      <c r="H57" s="259"/>
      <c r="I57" s="153"/>
      <c r="J57" s="153"/>
      <c r="K57" s="160"/>
      <c r="L57" s="160"/>
      <c r="M57" s="100"/>
      <c r="N57" s="102"/>
      <c r="O57" s="217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23"/>
      <c r="BW57" s="113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5"/>
      <c r="CI57" s="6" t="b">
        <f t="shared" si="6"/>
        <v>0</v>
      </c>
      <c r="CJ57" s="24" t="str">
        <f t="shared" ca="1" si="10"/>
        <v/>
      </c>
      <c r="CK57" s="5">
        <f>IF(COUNTIF($B$13:B57,B57)+COUNTIF('入力方法（入院患者）'!$CR$15:$CR$24,B57)=1,1,0)</f>
        <v>0</v>
      </c>
      <c r="CL57" s="1">
        <f>SUM($CK$13:CK57)+$CL$11</f>
        <v>0</v>
      </c>
    </row>
    <row r="58" spans="1:90" x14ac:dyDescent="0.15">
      <c r="A58" s="86" t="str">
        <f t="shared" si="7"/>
        <v/>
      </c>
      <c r="B58" s="232"/>
      <c r="C58" s="233"/>
      <c r="D58" s="232"/>
      <c r="E58" s="233"/>
      <c r="F58" s="257"/>
      <c r="G58" s="258"/>
      <c r="H58" s="259"/>
      <c r="I58" s="153"/>
      <c r="J58" s="153"/>
      <c r="K58" s="160"/>
      <c r="L58" s="160"/>
      <c r="M58" s="100"/>
      <c r="N58" s="102"/>
      <c r="O58" s="217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23"/>
      <c r="BW58" s="113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5"/>
      <c r="CI58" s="6" t="b">
        <f t="shared" si="6"/>
        <v>0</v>
      </c>
      <c r="CJ58" s="24" t="str">
        <f t="shared" ca="1" si="10"/>
        <v/>
      </c>
      <c r="CK58" s="5">
        <f>IF(COUNTIF($B$13:B58,B58)+COUNTIF('入力方法（入院患者）'!$CR$15:$CR$24,B58)=1,1,0)</f>
        <v>0</v>
      </c>
      <c r="CL58" s="1">
        <f>SUM($CK$13:CK58)+$CL$11</f>
        <v>0</v>
      </c>
    </row>
    <row r="59" spans="1:90" x14ac:dyDescent="0.15">
      <c r="A59" s="86" t="str">
        <f t="shared" si="7"/>
        <v/>
      </c>
      <c r="B59" s="232"/>
      <c r="C59" s="233"/>
      <c r="D59" s="232"/>
      <c r="E59" s="233"/>
      <c r="F59" s="257"/>
      <c r="G59" s="258"/>
      <c r="H59" s="259"/>
      <c r="I59" s="153"/>
      <c r="J59" s="153"/>
      <c r="K59" s="160"/>
      <c r="L59" s="160"/>
      <c r="M59" s="100"/>
      <c r="N59" s="102"/>
      <c r="O59" s="217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23"/>
      <c r="BW59" s="113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5"/>
      <c r="CI59" s="6" t="b">
        <f t="shared" si="6"/>
        <v>0</v>
      </c>
      <c r="CJ59" s="24" t="str">
        <f t="shared" ca="1" si="10"/>
        <v/>
      </c>
      <c r="CK59" s="5">
        <f>IF(COUNTIF($B$13:B59,B59)+COUNTIF('入力方法（入院患者）'!$CR$15:$CR$24,B59)=1,1,0)</f>
        <v>0</v>
      </c>
      <c r="CL59" s="1">
        <f>SUM($CK$13:CK59)+$CL$11</f>
        <v>0</v>
      </c>
    </row>
    <row r="60" spans="1:90" x14ac:dyDescent="0.15">
      <c r="A60" s="86" t="str">
        <f t="shared" si="7"/>
        <v/>
      </c>
      <c r="B60" s="232"/>
      <c r="C60" s="233"/>
      <c r="D60" s="232"/>
      <c r="E60" s="233"/>
      <c r="F60" s="257"/>
      <c r="G60" s="258"/>
      <c r="H60" s="259"/>
      <c r="I60" s="153"/>
      <c r="J60" s="153"/>
      <c r="K60" s="160"/>
      <c r="L60" s="160"/>
      <c r="M60" s="100"/>
      <c r="N60" s="102"/>
      <c r="O60" s="217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23"/>
      <c r="BW60" s="113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5"/>
      <c r="CI60" s="6" t="b">
        <f t="shared" si="6"/>
        <v>0</v>
      </c>
      <c r="CJ60" s="24" t="str">
        <f t="shared" ca="1" si="10"/>
        <v/>
      </c>
      <c r="CK60" s="5">
        <f>IF(COUNTIF($B$13:B60,B60)+COUNTIF('入力方法（入院患者）'!$CR$15:$CR$24,B60)=1,1,0)</f>
        <v>0</v>
      </c>
      <c r="CL60" s="1">
        <f>SUM($CK$13:CK60)+$CL$11</f>
        <v>0</v>
      </c>
    </row>
    <row r="61" spans="1:90" x14ac:dyDescent="0.15">
      <c r="A61" s="86" t="str">
        <f t="shared" si="7"/>
        <v/>
      </c>
      <c r="B61" s="232"/>
      <c r="C61" s="233"/>
      <c r="D61" s="232"/>
      <c r="E61" s="233"/>
      <c r="F61" s="257"/>
      <c r="G61" s="258"/>
      <c r="H61" s="259"/>
      <c r="I61" s="155"/>
      <c r="J61" s="155"/>
      <c r="K61" s="160"/>
      <c r="L61" s="110"/>
      <c r="M61" s="100"/>
      <c r="N61" s="100"/>
      <c r="O61" s="218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24"/>
      <c r="BW61" s="124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6"/>
      <c r="CI61" s="6" t="b">
        <f t="shared" si="6"/>
        <v>0</v>
      </c>
      <c r="CJ61" s="24" t="str">
        <f t="shared" ca="1" si="10"/>
        <v/>
      </c>
      <c r="CK61" s="5">
        <f>IF(COUNTIF($B$13:B61,B61)+COUNTIF('入力方法（入院患者）'!$CR$15:$CR$24,B61)=1,1,0)</f>
        <v>0</v>
      </c>
      <c r="CL61" s="1">
        <f>SUM($CK$13:CK61)+$CL$11</f>
        <v>0</v>
      </c>
    </row>
    <row r="62" spans="1:90" x14ac:dyDescent="0.15">
      <c r="A62" s="86" t="str">
        <f t="shared" si="7"/>
        <v/>
      </c>
      <c r="B62" s="232"/>
      <c r="C62" s="233"/>
      <c r="D62" s="232"/>
      <c r="E62" s="233"/>
      <c r="F62" s="257"/>
      <c r="G62" s="258"/>
      <c r="H62" s="259"/>
      <c r="I62" s="155"/>
      <c r="J62" s="155"/>
      <c r="K62" s="160"/>
      <c r="L62" s="110"/>
      <c r="M62" s="102"/>
      <c r="N62" s="100"/>
      <c r="O62" s="218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24"/>
      <c r="BW62" s="124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6"/>
      <c r="CI62" s="6" t="b">
        <f t="shared" si="6"/>
        <v>0</v>
      </c>
      <c r="CJ62" s="24" t="str">
        <f t="shared" ca="1" si="10"/>
        <v/>
      </c>
      <c r="CK62" s="5">
        <f>IF(COUNTIF($B$13:B62,B62)+COUNTIF('入力方法（入院患者）'!$CR$15:$CR$24,B62)=1,1,0)</f>
        <v>0</v>
      </c>
      <c r="CL62" s="1">
        <f>SUM($CK$13:CK62)+$CL$11</f>
        <v>0</v>
      </c>
    </row>
    <row r="63" spans="1:90" x14ac:dyDescent="0.15">
      <c r="A63" s="86" t="str">
        <f t="shared" si="7"/>
        <v/>
      </c>
      <c r="B63" s="232"/>
      <c r="C63" s="233"/>
      <c r="D63" s="232"/>
      <c r="E63" s="233"/>
      <c r="F63" s="257"/>
      <c r="G63" s="258"/>
      <c r="H63" s="259"/>
      <c r="I63" s="155"/>
      <c r="J63" s="155"/>
      <c r="K63" s="160"/>
      <c r="L63" s="110"/>
      <c r="M63" s="102"/>
      <c r="N63" s="100"/>
      <c r="O63" s="218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24"/>
      <c r="BW63" s="124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6"/>
      <c r="CI63" s="6" t="b">
        <f t="shared" si="6"/>
        <v>0</v>
      </c>
      <c r="CJ63" s="24" t="str">
        <f t="shared" ca="1" si="10"/>
        <v/>
      </c>
      <c r="CK63" s="5">
        <f>IF(COUNTIF($B$13:B63,B63)+COUNTIF('入力方法（入院患者）'!$CR$15:$CR$24,B63)=1,1,0)</f>
        <v>0</v>
      </c>
      <c r="CL63" s="1">
        <f>SUM($CK$13:CK63)+$CL$11</f>
        <v>0</v>
      </c>
    </row>
    <row r="64" spans="1:90" x14ac:dyDescent="0.15">
      <c r="A64" s="86" t="str">
        <f t="shared" si="7"/>
        <v/>
      </c>
      <c r="B64" s="232"/>
      <c r="C64" s="233"/>
      <c r="D64" s="232"/>
      <c r="E64" s="233"/>
      <c r="F64" s="257"/>
      <c r="G64" s="258"/>
      <c r="H64" s="259"/>
      <c r="I64" s="155"/>
      <c r="J64" s="155"/>
      <c r="K64" s="160"/>
      <c r="L64" s="110"/>
      <c r="M64" s="102"/>
      <c r="N64" s="100"/>
      <c r="O64" s="218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24"/>
      <c r="BW64" s="124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6"/>
      <c r="CI64" s="6" t="b">
        <f t="shared" si="6"/>
        <v>0</v>
      </c>
      <c r="CJ64" s="24" t="str">
        <f t="shared" ca="1" si="10"/>
        <v/>
      </c>
      <c r="CK64" s="5">
        <f>IF(COUNTIF($B$13:B64,B64)+COUNTIF('入力方法（入院患者）'!$CR$15:$CR$24,B64)=1,1,0)</f>
        <v>0</v>
      </c>
      <c r="CL64" s="1">
        <f>SUM($CK$13:CK64)+$CL$11</f>
        <v>0</v>
      </c>
    </row>
    <row r="65" spans="1:90" x14ac:dyDescent="0.15">
      <c r="A65" s="86" t="str">
        <f t="shared" si="7"/>
        <v/>
      </c>
      <c r="B65" s="232"/>
      <c r="C65" s="233"/>
      <c r="D65" s="232"/>
      <c r="E65" s="233"/>
      <c r="F65" s="257"/>
      <c r="G65" s="258"/>
      <c r="H65" s="259"/>
      <c r="I65" s="155"/>
      <c r="J65" s="155"/>
      <c r="K65" s="160"/>
      <c r="L65" s="110"/>
      <c r="M65" s="102"/>
      <c r="N65" s="100"/>
      <c r="O65" s="218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24"/>
      <c r="BW65" s="124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6"/>
      <c r="CI65" s="6" t="b">
        <f t="shared" si="6"/>
        <v>0</v>
      </c>
      <c r="CJ65" s="24" t="str">
        <f t="shared" ca="1" si="10"/>
        <v/>
      </c>
      <c r="CK65" s="5">
        <f>IF(COUNTIF($B$13:B65,B65)+COUNTIF('入力方法（入院患者）'!$CR$15:$CR$24,B65)=1,1,0)</f>
        <v>0</v>
      </c>
      <c r="CL65" s="1">
        <f>SUM($CK$13:CK65)+$CL$11</f>
        <v>0</v>
      </c>
    </row>
    <row r="66" spans="1:90" x14ac:dyDescent="0.15">
      <c r="A66" s="86" t="str">
        <f t="shared" si="7"/>
        <v/>
      </c>
      <c r="B66" s="232"/>
      <c r="C66" s="233"/>
      <c r="D66" s="232"/>
      <c r="E66" s="233"/>
      <c r="F66" s="257"/>
      <c r="G66" s="258"/>
      <c r="H66" s="259"/>
      <c r="I66" s="155"/>
      <c r="J66" s="155"/>
      <c r="K66" s="160"/>
      <c r="L66" s="110"/>
      <c r="M66" s="102"/>
      <c r="N66" s="100"/>
      <c r="O66" s="218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24"/>
      <c r="BW66" s="124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6"/>
      <c r="CI66" s="6" t="b">
        <f t="shared" si="6"/>
        <v>0</v>
      </c>
      <c r="CJ66" s="24" t="str">
        <f t="shared" ca="1" si="10"/>
        <v/>
      </c>
      <c r="CK66" s="5">
        <f>IF(COUNTIF($B$13:B66,B66)+COUNTIF('入力方法（入院患者）'!$CR$15:$CR$24,B66)=1,1,0)</f>
        <v>0</v>
      </c>
      <c r="CL66" s="1">
        <f>SUM($CK$13:CK66)+$CL$11</f>
        <v>0</v>
      </c>
    </row>
    <row r="67" spans="1:90" x14ac:dyDescent="0.15">
      <c r="A67" s="86" t="str">
        <f t="shared" si="7"/>
        <v/>
      </c>
      <c r="B67" s="232"/>
      <c r="C67" s="233"/>
      <c r="D67" s="232"/>
      <c r="E67" s="233"/>
      <c r="F67" s="257"/>
      <c r="G67" s="258"/>
      <c r="H67" s="259"/>
      <c r="I67" s="155"/>
      <c r="J67" s="155"/>
      <c r="K67" s="160"/>
      <c r="L67" s="110"/>
      <c r="M67" s="102"/>
      <c r="N67" s="100"/>
      <c r="O67" s="218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24"/>
      <c r="BW67" s="124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6"/>
      <c r="CI67" s="6" t="b">
        <f t="shared" si="6"/>
        <v>0</v>
      </c>
      <c r="CJ67" s="24" t="str">
        <f t="shared" ca="1" si="10"/>
        <v/>
      </c>
      <c r="CK67" s="5">
        <f>IF(COUNTIF($B$13:B67,B67)+COUNTIF('入力方法（入院患者）'!$CR$15:$CR$24,B67)=1,1,0)</f>
        <v>0</v>
      </c>
      <c r="CL67" s="1">
        <f>SUM($CK$13:CK67)+$CL$11</f>
        <v>0</v>
      </c>
    </row>
    <row r="68" spans="1:90" x14ac:dyDescent="0.15">
      <c r="A68" s="86" t="str">
        <f t="shared" si="7"/>
        <v/>
      </c>
      <c r="B68" s="232"/>
      <c r="C68" s="233"/>
      <c r="D68" s="232"/>
      <c r="E68" s="233"/>
      <c r="F68" s="257"/>
      <c r="G68" s="258"/>
      <c r="H68" s="259"/>
      <c r="I68" s="155"/>
      <c r="J68" s="155"/>
      <c r="K68" s="160"/>
      <c r="L68" s="110"/>
      <c r="M68" s="102"/>
      <c r="N68" s="100"/>
      <c r="O68" s="218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24"/>
      <c r="BW68" s="124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6"/>
      <c r="CI68" s="6" t="b">
        <f t="shared" si="6"/>
        <v>0</v>
      </c>
      <c r="CJ68" s="24" t="str">
        <f t="shared" ca="1" si="10"/>
        <v/>
      </c>
      <c r="CK68" s="5">
        <f>IF(COUNTIF($B$13:B68,B68)+COUNTIF('入力方法（入院患者）'!$CR$15:$CR$24,B68)=1,1,0)</f>
        <v>0</v>
      </c>
      <c r="CL68" s="1">
        <f>SUM($CK$13:CK68)+$CL$11</f>
        <v>0</v>
      </c>
    </row>
    <row r="69" spans="1:90" x14ac:dyDescent="0.15">
      <c r="A69" s="86" t="str">
        <f t="shared" si="7"/>
        <v/>
      </c>
      <c r="B69" s="232"/>
      <c r="C69" s="233"/>
      <c r="D69" s="232"/>
      <c r="E69" s="233"/>
      <c r="F69" s="257"/>
      <c r="G69" s="258"/>
      <c r="H69" s="259"/>
      <c r="I69" s="155"/>
      <c r="J69" s="155"/>
      <c r="K69" s="160"/>
      <c r="L69" s="110"/>
      <c r="M69" s="102"/>
      <c r="N69" s="100"/>
      <c r="O69" s="218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24"/>
      <c r="BW69" s="124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6"/>
      <c r="CI69" s="6" t="b">
        <f t="shared" si="6"/>
        <v>0</v>
      </c>
      <c r="CJ69" s="24" t="str">
        <f t="shared" ca="1" si="10"/>
        <v/>
      </c>
      <c r="CK69" s="5">
        <f>IF(COUNTIF($B$13:B69,B69)+COUNTIF('入力方法（入院患者）'!$CR$15:$CR$24,B69)=1,1,0)</f>
        <v>0</v>
      </c>
      <c r="CL69" s="1">
        <f>SUM($CK$13:CK69)+$CL$11</f>
        <v>0</v>
      </c>
    </row>
    <row r="70" spans="1:90" x14ac:dyDescent="0.15">
      <c r="A70" s="86" t="str">
        <f t="shared" si="7"/>
        <v/>
      </c>
      <c r="B70" s="232"/>
      <c r="C70" s="233"/>
      <c r="D70" s="232"/>
      <c r="E70" s="233"/>
      <c r="F70" s="257"/>
      <c r="G70" s="258"/>
      <c r="H70" s="259"/>
      <c r="I70" s="155"/>
      <c r="J70" s="155"/>
      <c r="K70" s="160"/>
      <c r="L70" s="110"/>
      <c r="M70" s="102"/>
      <c r="N70" s="100"/>
      <c r="O70" s="218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24"/>
      <c r="BW70" s="124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6"/>
      <c r="CI70" s="6" t="b">
        <f t="shared" si="6"/>
        <v>0</v>
      </c>
      <c r="CJ70" s="24" t="str">
        <f t="shared" ca="1" si="10"/>
        <v/>
      </c>
      <c r="CK70" s="5">
        <f>IF(COUNTIF($B$13:B70,B70)+COUNTIF('入力方法（入院患者）'!$CR$15:$CR$24,B70)=1,1,0)</f>
        <v>0</v>
      </c>
      <c r="CL70" s="1">
        <f>SUM($CK$13:CK70)+$CL$11</f>
        <v>0</v>
      </c>
    </row>
    <row r="71" spans="1:90" x14ac:dyDescent="0.15">
      <c r="A71" s="86" t="str">
        <f t="shared" si="7"/>
        <v/>
      </c>
      <c r="B71" s="232"/>
      <c r="C71" s="233"/>
      <c r="D71" s="232"/>
      <c r="E71" s="233"/>
      <c r="F71" s="257"/>
      <c r="G71" s="258"/>
      <c r="H71" s="259"/>
      <c r="I71" s="155"/>
      <c r="J71" s="155"/>
      <c r="K71" s="160"/>
      <c r="L71" s="110"/>
      <c r="M71" s="102"/>
      <c r="N71" s="100"/>
      <c r="O71" s="218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24"/>
      <c r="BW71" s="124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6"/>
      <c r="CI71" s="6" t="b">
        <f t="shared" si="6"/>
        <v>0</v>
      </c>
      <c r="CJ71" s="24" t="str">
        <f t="shared" ca="1" si="10"/>
        <v/>
      </c>
      <c r="CK71" s="5">
        <f>IF(COUNTIF($B$13:B71,B71)+COUNTIF('入力方法（入院患者）'!$CR$15:$CR$24,B71)=1,1,0)</f>
        <v>0</v>
      </c>
      <c r="CL71" s="1">
        <f>SUM($CK$13:CK71)+$CL$11</f>
        <v>0</v>
      </c>
    </row>
    <row r="72" spans="1:90" x14ac:dyDescent="0.15">
      <c r="A72" s="86" t="str">
        <f t="shared" si="7"/>
        <v/>
      </c>
      <c r="B72" s="232"/>
      <c r="C72" s="233"/>
      <c r="D72" s="232"/>
      <c r="E72" s="233"/>
      <c r="F72" s="257"/>
      <c r="G72" s="258"/>
      <c r="H72" s="259"/>
      <c r="I72" s="155"/>
      <c r="J72" s="155"/>
      <c r="K72" s="160"/>
      <c r="L72" s="110"/>
      <c r="M72" s="102"/>
      <c r="N72" s="100"/>
      <c r="O72" s="218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24"/>
      <c r="BW72" s="124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6"/>
      <c r="CI72" s="6" t="b">
        <f t="shared" si="6"/>
        <v>0</v>
      </c>
      <c r="CJ72" s="24" t="str">
        <f t="shared" ca="1" si="10"/>
        <v/>
      </c>
      <c r="CK72" s="5">
        <f>IF(COUNTIF($B$13:B72,B72)+COUNTIF('入力方法（入院患者）'!$CR$15:$CR$24,B72)=1,1,0)</f>
        <v>0</v>
      </c>
      <c r="CL72" s="1">
        <f>SUM($CK$13:CK72)+$CL$11</f>
        <v>0</v>
      </c>
    </row>
    <row r="73" spans="1:90" x14ac:dyDescent="0.15">
      <c r="A73" s="86" t="str">
        <f t="shared" si="7"/>
        <v/>
      </c>
      <c r="B73" s="232"/>
      <c r="C73" s="233"/>
      <c r="D73" s="232"/>
      <c r="E73" s="233"/>
      <c r="F73" s="257"/>
      <c r="G73" s="258"/>
      <c r="H73" s="259"/>
      <c r="I73" s="155"/>
      <c r="J73" s="155"/>
      <c r="K73" s="160"/>
      <c r="L73" s="110"/>
      <c r="M73" s="102"/>
      <c r="N73" s="100"/>
      <c r="O73" s="218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24"/>
      <c r="BW73" s="124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6"/>
      <c r="CI73" s="6" t="b">
        <f t="shared" si="6"/>
        <v>0</v>
      </c>
      <c r="CJ73" s="24" t="str">
        <f t="shared" ca="1" si="10"/>
        <v/>
      </c>
      <c r="CK73" s="5">
        <f>IF(COUNTIF($B$13:B73,B73)+COUNTIF('入力方法（入院患者）'!$CR$15:$CR$24,B73)=1,1,0)</f>
        <v>0</v>
      </c>
      <c r="CL73" s="1">
        <f>SUM($CK$13:CK73)+$CL$11</f>
        <v>0</v>
      </c>
    </row>
    <row r="74" spans="1:90" x14ac:dyDescent="0.15">
      <c r="A74" s="86" t="str">
        <f t="shared" si="7"/>
        <v/>
      </c>
      <c r="B74" s="232"/>
      <c r="C74" s="233"/>
      <c r="D74" s="232"/>
      <c r="E74" s="233"/>
      <c r="F74" s="257"/>
      <c r="G74" s="258"/>
      <c r="H74" s="259"/>
      <c r="I74" s="155"/>
      <c r="J74" s="155"/>
      <c r="K74" s="160"/>
      <c r="L74" s="110"/>
      <c r="M74" s="102"/>
      <c r="N74" s="100"/>
      <c r="O74" s="218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24"/>
      <c r="BW74" s="124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6"/>
      <c r="CI74" s="6" t="b">
        <f t="shared" si="6"/>
        <v>0</v>
      </c>
      <c r="CJ74" s="24" t="str">
        <f t="shared" ca="1" si="10"/>
        <v/>
      </c>
      <c r="CK74" s="5">
        <f>IF(COUNTIF($B$13:B74,B74)+COUNTIF('入力方法（入院患者）'!$CR$15:$CR$24,B74)=1,1,0)</f>
        <v>0</v>
      </c>
      <c r="CL74" s="1">
        <f>SUM($CK$13:CK74)+$CL$11</f>
        <v>0</v>
      </c>
    </row>
    <row r="75" spans="1:90" x14ac:dyDescent="0.15">
      <c r="A75" s="86" t="str">
        <f t="shared" si="7"/>
        <v/>
      </c>
      <c r="B75" s="232"/>
      <c r="C75" s="233"/>
      <c r="D75" s="232"/>
      <c r="E75" s="233"/>
      <c r="F75" s="257"/>
      <c r="G75" s="258"/>
      <c r="H75" s="259"/>
      <c r="I75" s="155"/>
      <c r="J75" s="155"/>
      <c r="K75" s="160"/>
      <c r="L75" s="110"/>
      <c r="M75" s="102"/>
      <c r="N75" s="100"/>
      <c r="O75" s="218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24"/>
      <c r="BW75" s="124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6"/>
      <c r="CI75" s="6" t="b">
        <f t="shared" si="6"/>
        <v>0</v>
      </c>
      <c r="CJ75" s="24" t="str">
        <f t="shared" ca="1" si="10"/>
        <v/>
      </c>
      <c r="CK75" s="5">
        <f>IF(COUNTIF($B$13:B75,B75)+COUNTIF('入力方法（入院患者）'!$CR$15:$CR$24,B75)=1,1,0)</f>
        <v>0</v>
      </c>
      <c r="CL75" s="1">
        <f>SUM($CK$13:CK75)+$CL$11</f>
        <v>0</v>
      </c>
    </row>
    <row r="76" spans="1:90" x14ac:dyDescent="0.15">
      <c r="A76" s="86" t="str">
        <f t="shared" si="7"/>
        <v/>
      </c>
      <c r="B76" s="232"/>
      <c r="C76" s="233"/>
      <c r="D76" s="232"/>
      <c r="E76" s="233"/>
      <c r="F76" s="257"/>
      <c r="G76" s="258"/>
      <c r="H76" s="259"/>
      <c r="I76" s="155"/>
      <c r="J76" s="155"/>
      <c r="K76" s="160"/>
      <c r="L76" s="110"/>
      <c r="M76" s="102"/>
      <c r="N76" s="100"/>
      <c r="O76" s="218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24"/>
      <c r="BW76" s="124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6"/>
      <c r="CI76" s="6" t="b">
        <f t="shared" si="6"/>
        <v>0</v>
      </c>
      <c r="CJ76" s="24" t="str">
        <f t="shared" ca="1" si="10"/>
        <v/>
      </c>
      <c r="CK76" s="5">
        <f>IF(COUNTIF($B$13:B76,B76)+COUNTIF('入力方法（入院患者）'!$CR$15:$CR$24,B76)=1,1,0)</f>
        <v>0</v>
      </c>
      <c r="CL76" s="1">
        <f>SUM($CK$13:CK76)+$CL$11</f>
        <v>0</v>
      </c>
    </row>
    <row r="77" spans="1:90" x14ac:dyDescent="0.15">
      <c r="A77" s="86" t="str">
        <f t="shared" si="7"/>
        <v/>
      </c>
      <c r="B77" s="232"/>
      <c r="C77" s="233"/>
      <c r="D77" s="232"/>
      <c r="E77" s="233"/>
      <c r="F77" s="257"/>
      <c r="G77" s="258"/>
      <c r="H77" s="259"/>
      <c r="I77" s="155"/>
      <c r="J77" s="155"/>
      <c r="K77" s="160"/>
      <c r="L77" s="110"/>
      <c r="M77" s="102"/>
      <c r="N77" s="100"/>
      <c r="O77" s="218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24"/>
      <c r="BW77" s="124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6"/>
      <c r="CI77" s="6" t="b">
        <f t="shared" si="6"/>
        <v>0</v>
      </c>
      <c r="CJ77" s="24" t="str">
        <f t="shared" ca="1" si="10"/>
        <v/>
      </c>
      <c r="CK77" s="5">
        <f>IF(COUNTIF($B$13:B77,B77)+COUNTIF('入力方法（入院患者）'!$CR$15:$CR$24,B77)=1,1,0)</f>
        <v>0</v>
      </c>
      <c r="CL77" s="1">
        <f>SUM($CK$13:CK77)+$CL$11</f>
        <v>0</v>
      </c>
    </row>
    <row r="78" spans="1:90" x14ac:dyDescent="0.15">
      <c r="A78" s="86" t="str">
        <f t="shared" si="7"/>
        <v/>
      </c>
      <c r="B78" s="232"/>
      <c r="C78" s="233"/>
      <c r="D78" s="232"/>
      <c r="E78" s="233"/>
      <c r="F78" s="257"/>
      <c r="G78" s="258"/>
      <c r="H78" s="259"/>
      <c r="I78" s="155"/>
      <c r="J78" s="155"/>
      <c r="K78" s="160"/>
      <c r="L78" s="110"/>
      <c r="M78" s="102"/>
      <c r="N78" s="100"/>
      <c r="O78" s="218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24"/>
      <c r="BW78" s="124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6"/>
      <c r="CI78" s="6" t="b">
        <f t="shared" ref="CI78:CI112" si="11">COUNTIF(O78:BV78,"○")&gt;0</f>
        <v>0</v>
      </c>
      <c r="CJ78" s="24" t="str">
        <f t="shared" ref="CJ78:CJ112" ca="1" si="12">IFERROR(OFFSET($O$9,0,MATCH("○",O78:BV78,0)-1,1,1),"")</f>
        <v/>
      </c>
      <c r="CK78" s="5">
        <f>IF(COUNTIF($B$13:B78,B78)+COUNTIF('入力方法（入院患者）'!$CR$15:$CR$24,B78)=1,1,0)</f>
        <v>0</v>
      </c>
      <c r="CL78" s="1">
        <f>SUM($CK$13:CK78)+$CL$11</f>
        <v>0</v>
      </c>
    </row>
    <row r="79" spans="1:90" x14ac:dyDescent="0.15">
      <c r="A79" s="86" t="str">
        <f t="shared" ref="A79:A112" si="13">IFERROR(IF(B79="","",A78+1),"")</f>
        <v/>
      </c>
      <c r="B79" s="232"/>
      <c r="C79" s="233"/>
      <c r="D79" s="232"/>
      <c r="E79" s="233"/>
      <c r="F79" s="257"/>
      <c r="G79" s="258"/>
      <c r="H79" s="259"/>
      <c r="I79" s="155"/>
      <c r="J79" s="155"/>
      <c r="K79" s="160"/>
      <c r="L79" s="110"/>
      <c r="M79" s="102"/>
      <c r="N79" s="100"/>
      <c r="O79" s="218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24"/>
      <c r="BW79" s="124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6"/>
      <c r="CI79" s="6" t="b">
        <f t="shared" si="11"/>
        <v>0</v>
      </c>
      <c r="CJ79" s="24" t="str">
        <f t="shared" ca="1" si="12"/>
        <v/>
      </c>
      <c r="CK79" s="5">
        <f>IF(COUNTIF($B$13:B79,B79)+COUNTIF('入力方法（入院患者）'!$CR$15:$CR$24,B79)=1,1,0)</f>
        <v>0</v>
      </c>
      <c r="CL79" s="1">
        <f>SUM($CK$13:CK79)+$CL$11</f>
        <v>0</v>
      </c>
    </row>
    <row r="80" spans="1:90" x14ac:dyDescent="0.15">
      <c r="A80" s="86" t="str">
        <f t="shared" si="13"/>
        <v/>
      </c>
      <c r="B80" s="232"/>
      <c r="C80" s="233"/>
      <c r="D80" s="232"/>
      <c r="E80" s="233"/>
      <c r="F80" s="257"/>
      <c r="G80" s="258"/>
      <c r="H80" s="259"/>
      <c r="I80" s="155"/>
      <c r="J80" s="155"/>
      <c r="K80" s="160"/>
      <c r="L80" s="110"/>
      <c r="M80" s="102"/>
      <c r="N80" s="100"/>
      <c r="O80" s="218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24"/>
      <c r="BW80" s="124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6"/>
      <c r="CI80" s="6" t="b">
        <f t="shared" si="11"/>
        <v>0</v>
      </c>
      <c r="CJ80" s="24" t="str">
        <f t="shared" ca="1" si="12"/>
        <v/>
      </c>
      <c r="CK80" s="5">
        <f>IF(COUNTIF($B$13:B80,B80)+COUNTIF('入力方法（入院患者）'!$CR$15:$CR$24,B80)=1,1,0)</f>
        <v>0</v>
      </c>
      <c r="CL80" s="1">
        <f>SUM($CK$13:CK80)+$CL$11</f>
        <v>0</v>
      </c>
    </row>
    <row r="81" spans="1:90" x14ac:dyDescent="0.15">
      <c r="A81" s="86" t="str">
        <f t="shared" si="13"/>
        <v/>
      </c>
      <c r="B81" s="232"/>
      <c r="C81" s="233"/>
      <c r="D81" s="232"/>
      <c r="E81" s="233"/>
      <c r="F81" s="257"/>
      <c r="G81" s="258"/>
      <c r="H81" s="259"/>
      <c r="I81" s="155"/>
      <c r="J81" s="155"/>
      <c r="K81" s="160"/>
      <c r="L81" s="110"/>
      <c r="M81" s="102"/>
      <c r="N81" s="100"/>
      <c r="O81" s="218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24"/>
      <c r="BW81" s="124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6"/>
      <c r="CI81" s="6" t="b">
        <f t="shared" si="11"/>
        <v>0</v>
      </c>
      <c r="CJ81" s="24" t="str">
        <f t="shared" ca="1" si="12"/>
        <v/>
      </c>
      <c r="CK81" s="5">
        <f>IF(COUNTIF($B$13:B81,B81)+COUNTIF('入力方法（入院患者）'!$CR$15:$CR$24,B81)=1,1,0)</f>
        <v>0</v>
      </c>
      <c r="CL81" s="1">
        <f>SUM($CK$13:CK81)+$CL$11</f>
        <v>0</v>
      </c>
    </row>
    <row r="82" spans="1:90" x14ac:dyDescent="0.15">
      <c r="A82" s="86" t="str">
        <f t="shared" si="13"/>
        <v/>
      </c>
      <c r="B82" s="232"/>
      <c r="C82" s="233"/>
      <c r="D82" s="232"/>
      <c r="E82" s="233"/>
      <c r="F82" s="257"/>
      <c r="G82" s="258"/>
      <c r="H82" s="259"/>
      <c r="I82" s="155"/>
      <c r="J82" s="155"/>
      <c r="K82" s="160"/>
      <c r="L82" s="110"/>
      <c r="M82" s="102"/>
      <c r="N82" s="100"/>
      <c r="O82" s="218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24"/>
      <c r="BW82" s="124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6"/>
      <c r="CI82" s="6" t="b">
        <f t="shared" si="11"/>
        <v>0</v>
      </c>
      <c r="CJ82" s="24" t="str">
        <f t="shared" ca="1" si="12"/>
        <v/>
      </c>
      <c r="CK82" s="5">
        <f>IF(COUNTIF($B$13:B82,B82)+COUNTIF('入力方法（入院患者）'!$CR$15:$CR$24,B82)=1,1,0)</f>
        <v>0</v>
      </c>
      <c r="CL82" s="1">
        <f>SUM($CK$13:CK82)+$CL$11</f>
        <v>0</v>
      </c>
    </row>
    <row r="83" spans="1:90" x14ac:dyDescent="0.15">
      <c r="A83" s="86" t="str">
        <f t="shared" si="13"/>
        <v/>
      </c>
      <c r="B83" s="232"/>
      <c r="C83" s="233"/>
      <c r="D83" s="232"/>
      <c r="E83" s="233"/>
      <c r="F83" s="257"/>
      <c r="G83" s="258"/>
      <c r="H83" s="259"/>
      <c r="I83" s="155"/>
      <c r="J83" s="155"/>
      <c r="K83" s="160"/>
      <c r="L83" s="110"/>
      <c r="M83" s="102"/>
      <c r="N83" s="100"/>
      <c r="O83" s="218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24"/>
      <c r="BW83" s="124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6"/>
      <c r="CI83" s="6" t="b">
        <f t="shared" si="11"/>
        <v>0</v>
      </c>
      <c r="CJ83" s="24" t="str">
        <f t="shared" ca="1" si="12"/>
        <v/>
      </c>
      <c r="CK83" s="5">
        <f>IF(COUNTIF($B$13:B83,B83)+COUNTIF('入力方法（入院患者）'!$CR$15:$CR$24,B83)=1,1,0)</f>
        <v>0</v>
      </c>
      <c r="CL83" s="1">
        <f>SUM($CK$13:CK83)+$CL$11</f>
        <v>0</v>
      </c>
    </row>
    <row r="84" spans="1:90" x14ac:dyDescent="0.15">
      <c r="A84" s="86" t="str">
        <f t="shared" si="13"/>
        <v/>
      </c>
      <c r="B84" s="232"/>
      <c r="C84" s="233"/>
      <c r="D84" s="232"/>
      <c r="E84" s="233"/>
      <c r="F84" s="257"/>
      <c r="G84" s="258"/>
      <c r="H84" s="259"/>
      <c r="I84" s="155"/>
      <c r="J84" s="155"/>
      <c r="K84" s="160"/>
      <c r="L84" s="110"/>
      <c r="M84" s="102"/>
      <c r="N84" s="100"/>
      <c r="O84" s="218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24"/>
      <c r="BW84" s="124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6"/>
      <c r="CI84" s="6" t="b">
        <f t="shared" si="11"/>
        <v>0</v>
      </c>
      <c r="CJ84" s="24" t="str">
        <f t="shared" ca="1" si="12"/>
        <v/>
      </c>
      <c r="CK84" s="5">
        <f>IF(COUNTIF($B$13:B84,B84)+COUNTIF('入力方法（入院患者）'!$CR$15:$CR$24,B84)=1,1,0)</f>
        <v>0</v>
      </c>
      <c r="CL84" s="1">
        <f>SUM($CK$13:CK84)+$CL$11</f>
        <v>0</v>
      </c>
    </row>
    <row r="85" spans="1:90" x14ac:dyDescent="0.15">
      <c r="A85" s="86" t="str">
        <f t="shared" si="13"/>
        <v/>
      </c>
      <c r="B85" s="232"/>
      <c r="C85" s="233"/>
      <c r="D85" s="232"/>
      <c r="E85" s="233"/>
      <c r="F85" s="257"/>
      <c r="G85" s="258"/>
      <c r="H85" s="259"/>
      <c r="I85" s="155"/>
      <c r="J85" s="155"/>
      <c r="K85" s="160"/>
      <c r="L85" s="110"/>
      <c r="M85" s="102"/>
      <c r="N85" s="100"/>
      <c r="O85" s="218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24"/>
      <c r="BW85" s="124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6"/>
      <c r="CI85" s="6" t="b">
        <f t="shared" si="11"/>
        <v>0</v>
      </c>
      <c r="CJ85" s="24" t="str">
        <f t="shared" ca="1" si="12"/>
        <v/>
      </c>
      <c r="CK85" s="5">
        <f>IF(COUNTIF($B$13:B85,B85)+COUNTIF('入力方法（入院患者）'!$CR$15:$CR$24,B85)=1,1,0)</f>
        <v>0</v>
      </c>
      <c r="CL85" s="1">
        <f>SUM($CK$13:CK85)+$CL$11</f>
        <v>0</v>
      </c>
    </row>
    <row r="86" spans="1:90" x14ac:dyDescent="0.15">
      <c r="A86" s="86" t="str">
        <f t="shared" si="13"/>
        <v/>
      </c>
      <c r="B86" s="232"/>
      <c r="C86" s="233"/>
      <c r="D86" s="232"/>
      <c r="E86" s="233"/>
      <c r="F86" s="257"/>
      <c r="G86" s="258"/>
      <c r="H86" s="259"/>
      <c r="I86" s="155"/>
      <c r="J86" s="155"/>
      <c r="K86" s="160"/>
      <c r="L86" s="110"/>
      <c r="M86" s="102"/>
      <c r="N86" s="100"/>
      <c r="O86" s="218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24"/>
      <c r="BW86" s="124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6"/>
      <c r="CI86" s="6" t="b">
        <f t="shared" si="11"/>
        <v>0</v>
      </c>
      <c r="CJ86" s="24" t="str">
        <f t="shared" ca="1" si="12"/>
        <v/>
      </c>
      <c r="CK86" s="5">
        <f>IF(COUNTIF($B$13:B86,B86)+COUNTIF('入力方法（入院患者）'!$CR$15:$CR$24,B86)=1,1,0)</f>
        <v>0</v>
      </c>
      <c r="CL86" s="1">
        <f>SUM($CK$13:CK86)+$CL$11</f>
        <v>0</v>
      </c>
    </row>
    <row r="87" spans="1:90" x14ac:dyDescent="0.15">
      <c r="A87" s="86" t="str">
        <f t="shared" si="13"/>
        <v/>
      </c>
      <c r="B87" s="232"/>
      <c r="C87" s="233"/>
      <c r="D87" s="232"/>
      <c r="E87" s="233"/>
      <c r="F87" s="257"/>
      <c r="G87" s="258"/>
      <c r="H87" s="259"/>
      <c r="I87" s="155"/>
      <c r="J87" s="155"/>
      <c r="K87" s="160"/>
      <c r="L87" s="110"/>
      <c r="M87" s="102"/>
      <c r="N87" s="100"/>
      <c r="O87" s="218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24"/>
      <c r="BW87" s="124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6"/>
      <c r="CI87" s="6" t="b">
        <f t="shared" si="11"/>
        <v>0</v>
      </c>
      <c r="CJ87" s="24" t="str">
        <f t="shared" ca="1" si="12"/>
        <v/>
      </c>
      <c r="CK87" s="5">
        <f>IF(COUNTIF($B$13:B87,B87)+COUNTIF('入力方法（入院患者）'!$CR$15:$CR$24,B87)=1,1,0)</f>
        <v>0</v>
      </c>
      <c r="CL87" s="1">
        <f>SUM($CK$13:CK87)+$CL$11</f>
        <v>0</v>
      </c>
    </row>
    <row r="88" spans="1:90" x14ac:dyDescent="0.15">
      <c r="A88" s="86" t="str">
        <f t="shared" si="13"/>
        <v/>
      </c>
      <c r="B88" s="232"/>
      <c r="C88" s="233"/>
      <c r="D88" s="232"/>
      <c r="E88" s="233"/>
      <c r="F88" s="257"/>
      <c r="G88" s="258"/>
      <c r="H88" s="259"/>
      <c r="I88" s="155"/>
      <c r="J88" s="155"/>
      <c r="K88" s="160"/>
      <c r="L88" s="110"/>
      <c r="M88" s="102"/>
      <c r="N88" s="100"/>
      <c r="O88" s="218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24"/>
      <c r="BW88" s="124"/>
      <c r="BX88" s="125"/>
      <c r="BY88" s="125"/>
      <c r="BZ88" s="125"/>
      <c r="CA88" s="125"/>
      <c r="CB88" s="125"/>
      <c r="CC88" s="125"/>
      <c r="CD88" s="125"/>
      <c r="CE88" s="125"/>
      <c r="CF88" s="125"/>
      <c r="CG88" s="125"/>
      <c r="CH88" s="126"/>
      <c r="CI88" s="6" t="b">
        <f t="shared" si="11"/>
        <v>0</v>
      </c>
      <c r="CJ88" s="24" t="str">
        <f t="shared" ca="1" si="12"/>
        <v/>
      </c>
      <c r="CK88" s="5">
        <f>IF(COUNTIF($B$13:B88,B88)+COUNTIF('入力方法（入院患者）'!$CR$15:$CR$24,B88)=1,1,0)</f>
        <v>0</v>
      </c>
      <c r="CL88" s="1">
        <f>SUM($CK$13:CK88)+$CL$11</f>
        <v>0</v>
      </c>
    </row>
    <row r="89" spans="1:90" x14ac:dyDescent="0.15">
      <c r="A89" s="86" t="str">
        <f t="shared" si="13"/>
        <v/>
      </c>
      <c r="B89" s="232"/>
      <c r="C89" s="233"/>
      <c r="D89" s="232"/>
      <c r="E89" s="233"/>
      <c r="F89" s="257"/>
      <c r="G89" s="258"/>
      <c r="H89" s="259"/>
      <c r="I89" s="155"/>
      <c r="J89" s="155"/>
      <c r="K89" s="160"/>
      <c r="L89" s="110"/>
      <c r="M89" s="102"/>
      <c r="N89" s="100"/>
      <c r="O89" s="218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24"/>
      <c r="BW89" s="124"/>
      <c r="BX89" s="125"/>
      <c r="BY89" s="125"/>
      <c r="BZ89" s="125"/>
      <c r="CA89" s="125"/>
      <c r="CB89" s="125"/>
      <c r="CC89" s="125"/>
      <c r="CD89" s="125"/>
      <c r="CE89" s="125"/>
      <c r="CF89" s="125"/>
      <c r="CG89" s="125"/>
      <c r="CH89" s="126"/>
      <c r="CI89" s="6" t="b">
        <f t="shared" si="11"/>
        <v>0</v>
      </c>
      <c r="CJ89" s="24" t="str">
        <f t="shared" ca="1" si="12"/>
        <v/>
      </c>
      <c r="CK89" s="5">
        <f>IF(COUNTIF($B$13:B89,B89)+COUNTIF('入力方法（入院患者）'!$CR$15:$CR$24,B89)=1,1,0)</f>
        <v>0</v>
      </c>
      <c r="CL89" s="1">
        <f>SUM($CK$13:CK89)+$CL$11</f>
        <v>0</v>
      </c>
    </row>
    <row r="90" spans="1:90" x14ac:dyDescent="0.15">
      <c r="A90" s="86" t="str">
        <f t="shared" si="13"/>
        <v/>
      </c>
      <c r="B90" s="232"/>
      <c r="C90" s="233"/>
      <c r="D90" s="232"/>
      <c r="E90" s="233"/>
      <c r="F90" s="257"/>
      <c r="G90" s="258"/>
      <c r="H90" s="259"/>
      <c r="I90" s="155"/>
      <c r="J90" s="155"/>
      <c r="K90" s="160"/>
      <c r="L90" s="110"/>
      <c r="M90" s="102"/>
      <c r="N90" s="100"/>
      <c r="O90" s="218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24"/>
      <c r="BW90" s="124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6"/>
      <c r="CI90" s="6" t="b">
        <f t="shared" si="11"/>
        <v>0</v>
      </c>
      <c r="CJ90" s="24" t="str">
        <f t="shared" ca="1" si="12"/>
        <v/>
      </c>
      <c r="CK90" s="5">
        <f>IF(COUNTIF($B$13:B90,B90)+COUNTIF('入力方法（入院患者）'!$CR$15:$CR$24,B90)=1,1,0)</f>
        <v>0</v>
      </c>
      <c r="CL90" s="1">
        <f>SUM($CK$13:CK90)+$CL$11</f>
        <v>0</v>
      </c>
    </row>
    <row r="91" spans="1:90" x14ac:dyDescent="0.15">
      <c r="A91" s="86" t="str">
        <f t="shared" si="13"/>
        <v/>
      </c>
      <c r="B91" s="232"/>
      <c r="C91" s="233"/>
      <c r="D91" s="232"/>
      <c r="E91" s="233"/>
      <c r="F91" s="257"/>
      <c r="G91" s="258"/>
      <c r="H91" s="259"/>
      <c r="I91" s="155"/>
      <c r="J91" s="155"/>
      <c r="K91" s="160"/>
      <c r="L91" s="110"/>
      <c r="M91" s="102"/>
      <c r="N91" s="100"/>
      <c r="O91" s="218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24"/>
      <c r="BW91" s="124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6"/>
      <c r="CI91" s="6" t="b">
        <f t="shared" si="11"/>
        <v>0</v>
      </c>
      <c r="CJ91" s="24" t="str">
        <f t="shared" ca="1" si="12"/>
        <v/>
      </c>
      <c r="CK91" s="5">
        <f>IF(COUNTIF($B$13:B91,B91)+COUNTIF('入力方法（入院患者）'!$CR$15:$CR$24,B91)=1,1,0)</f>
        <v>0</v>
      </c>
      <c r="CL91" s="1">
        <f>SUM($CK$13:CK91)+$CL$11</f>
        <v>0</v>
      </c>
    </row>
    <row r="92" spans="1:90" x14ac:dyDescent="0.15">
      <c r="A92" s="86" t="str">
        <f t="shared" si="13"/>
        <v/>
      </c>
      <c r="B92" s="232"/>
      <c r="C92" s="233"/>
      <c r="D92" s="232"/>
      <c r="E92" s="233"/>
      <c r="F92" s="257"/>
      <c r="G92" s="258"/>
      <c r="H92" s="259"/>
      <c r="I92" s="155"/>
      <c r="J92" s="155"/>
      <c r="K92" s="160"/>
      <c r="L92" s="110"/>
      <c r="M92" s="102"/>
      <c r="N92" s="100"/>
      <c r="O92" s="218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24"/>
      <c r="BW92" s="124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6"/>
      <c r="CI92" s="6" t="b">
        <f t="shared" si="11"/>
        <v>0</v>
      </c>
      <c r="CJ92" s="24" t="str">
        <f t="shared" ca="1" si="12"/>
        <v/>
      </c>
      <c r="CK92" s="5">
        <f>IF(COUNTIF($B$13:B92,B92)+COUNTIF('入力方法（入院患者）'!$CR$15:$CR$24,B92)=1,1,0)</f>
        <v>0</v>
      </c>
      <c r="CL92" s="1">
        <f>SUM($CK$13:CK92)+$CL$11</f>
        <v>0</v>
      </c>
    </row>
    <row r="93" spans="1:90" x14ac:dyDescent="0.15">
      <c r="A93" s="86" t="str">
        <f t="shared" si="13"/>
        <v/>
      </c>
      <c r="B93" s="232"/>
      <c r="C93" s="233"/>
      <c r="D93" s="232"/>
      <c r="E93" s="233"/>
      <c r="F93" s="257"/>
      <c r="G93" s="258"/>
      <c r="H93" s="259"/>
      <c r="I93" s="155"/>
      <c r="J93" s="155"/>
      <c r="K93" s="160"/>
      <c r="L93" s="110"/>
      <c r="M93" s="102"/>
      <c r="N93" s="100"/>
      <c r="O93" s="218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24"/>
      <c r="BW93" s="124"/>
      <c r="BX93" s="125"/>
      <c r="BY93" s="125"/>
      <c r="BZ93" s="125"/>
      <c r="CA93" s="125"/>
      <c r="CB93" s="125"/>
      <c r="CC93" s="125"/>
      <c r="CD93" s="125"/>
      <c r="CE93" s="125"/>
      <c r="CF93" s="125"/>
      <c r="CG93" s="125"/>
      <c r="CH93" s="126"/>
      <c r="CI93" s="6" t="b">
        <f t="shared" si="11"/>
        <v>0</v>
      </c>
      <c r="CJ93" s="24" t="str">
        <f t="shared" ca="1" si="12"/>
        <v/>
      </c>
      <c r="CK93" s="5">
        <f>IF(COUNTIF($B$13:B93,B93)+COUNTIF('入力方法（入院患者）'!$CR$15:$CR$24,B93)=1,1,0)</f>
        <v>0</v>
      </c>
      <c r="CL93" s="1">
        <f>SUM($CK$13:CK93)+$CL$11</f>
        <v>0</v>
      </c>
    </row>
    <row r="94" spans="1:90" x14ac:dyDescent="0.15">
      <c r="A94" s="86" t="str">
        <f t="shared" si="13"/>
        <v/>
      </c>
      <c r="B94" s="232"/>
      <c r="C94" s="233"/>
      <c r="D94" s="232"/>
      <c r="E94" s="233"/>
      <c r="F94" s="257"/>
      <c r="G94" s="258"/>
      <c r="H94" s="259"/>
      <c r="I94" s="155"/>
      <c r="J94" s="155"/>
      <c r="K94" s="160"/>
      <c r="L94" s="110"/>
      <c r="M94" s="102"/>
      <c r="N94" s="100"/>
      <c r="O94" s="218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24"/>
      <c r="BW94" s="124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6"/>
      <c r="CI94" s="6" t="b">
        <f t="shared" si="11"/>
        <v>0</v>
      </c>
      <c r="CJ94" s="24" t="str">
        <f t="shared" ca="1" si="12"/>
        <v/>
      </c>
      <c r="CK94" s="5">
        <f>IF(COUNTIF($B$13:B94,B94)+COUNTIF('入力方法（入院患者）'!$CR$15:$CR$24,B94)=1,1,0)</f>
        <v>0</v>
      </c>
      <c r="CL94" s="1">
        <f>SUM($CK$13:CK94)+$CL$11</f>
        <v>0</v>
      </c>
    </row>
    <row r="95" spans="1:90" x14ac:dyDescent="0.15">
      <c r="A95" s="86" t="str">
        <f t="shared" si="13"/>
        <v/>
      </c>
      <c r="B95" s="232"/>
      <c r="C95" s="233"/>
      <c r="D95" s="232"/>
      <c r="E95" s="233"/>
      <c r="F95" s="257"/>
      <c r="G95" s="258"/>
      <c r="H95" s="259"/>
      <c r="I95" s="155"/>
      <c r="J95" s="155"/>
      <c r="K95" s="160"/>
      <c r="L95" s="110"/>
      <c r="M95" s="102"/>
      <c r="N95" s="100"/>
      <c r="O95" s="218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24"/>
      <c r="BW95" s="124"/>
      <c r="BX95" s="125"/>
      <c r="BY95" s="125"/>
      <c r="BZ95" s="125"/>
      <c r="CA95" s="125"/>
      <c r="CB95" s="125"/>
      <c r="CC95" s="125"/>
      <c r="CD95" s="125"/>
      <c r="CE95" s="125"/>
      <c r="CF95" s="125"/>
      <c r="CG95" s="125"/>
      <c r="CH95" s="126"/>
      <c r="CI95" s="6" t="b">
        <f t="shared" si="11"/>
        <v>0</v>
      </c>
      <c r="CJ95" s="24" t="str">
        <f t="shared" ca="1" si="12"/>
        <v/>
      </c>
      <c r="CK95" s="5">
        <f>IF(COUNTIF($B$13:B95,B95)+COUNTIF('入力方法（入院患者）'!$CR$15:$CR$24,B95)=1,1,0)</f>
        <v>0</v>
      </c>
      <c r="CL95" s="1">
        <f>SUM($CK$13:CK95)+$CL$11</f>
        <v>0</v>
      </c>
    </row>
    <row r="96" spans="1:90" x14ac:dyDescent="0.15">
      <c r="A96" s="86" t="str">
        <f t="shared" si="13"/>
        <v/>
      </c>
      <c r="B96" s="232"/>
      <c r="C96" s="233"/>
      <c r="D96" s="232"/>
      <c r="E96" s="233"/>
      <c r="F96" s="257"/>
      <c r="G96" s="258"/>
      <c r="H96" s="259"/>
      <c r="I96" s="155"/>
      <c r="J96" s="155"/>
      <c r="K96" s="160"/>
      <c r="L96" s="110"/>
      <c r="M96" s="102"/>
      <c r="N96" s="100"/>
      <c r="O96" s="218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24"/>
      <c r="BW96" s="124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6"/>
      <c r="CI96" s="6" t="b">
        <f t="shared" si="11"/>
        <v>0</v>
      </c>
      <c r="CJ96" s="24" t="str">
        <f t="shared" ca="1" si="12"/>
        <v/>
      </c>
      <c r="CK96" s="5">
        <f>IF(COUNTIF($B$13:B96,B96)+COUNTIF('入力方法（入院患者）'!$CR$15:$CR$24,B96)=1,1,0)</f>
        <v>0</v>
      </c>
      <c r="CL96" s="1">
        <f>SUM($CK$13:CK96)+$CL$11</f>
        <v>0</v>
      </c>
    </row>
    <row r="97" spans="1:90" x14ac:dyDescent="0.15">
      <c r="A97" s="86" t="str">
        <f t="shared" si="13"/>
        <v/>
      </c>
      <c r="B97" s="232"/>
      <c r="C97" s="233"/>
      <c r="D97" s="232"/>
      <c r="E97" s="233"/>
      <c r="F97" s="257"/>
      <c r="G97" s="258"/>
      <c r="H97" s="259"/>
      <c r="I97" s="155"/>
      <c r="J97" s="155"/>
      <c r="K97" s="160"/>
      <c r="L97" s="110"/>
      <c r="M97" s="102"/>
      <c r="N97" s="100"/>
      <c r="O97" s="218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24"/>
      <c r="BW97" s="124"/>
      <c r="BX97" s="125"/>
      <c r="BY97" s="125"/>
      <c r="BZ97" s="125"/>
      <c r="CA97" s="125"/>
      <c r="CB97" s="125"/>
      <c r="CC97" s="125"/>
      <c r="CD97" s="125"/>
      <c r="CE97" s="125"/>
      <c r="CF97" s="125"/>
      <c r="CG97" s="125"/>
      <c r="CH97" s="126"/>
      <c r="CI97" s="6" t="b">
        <f t="shared" si="11"/>
        <v>0</v>
      </c>
      <c r="CJ97" s="24" t="str">
        <f t="shared" ca="1" si="12"/>
        <v/>
      </c>
      <c r="CK97" s="5">
        <f>IF(COUNTIF($B$13:B97,B97)+COUNTIF('入力方法（入院患者）'!$CR$15:$CR$24,B97)=1,1,0)</f>
        <v>0</v>
      </c>
      <c r="CL97" s="1">
        <f>SUM($CK$13:CK97)+$CL$11</f>
        <v>0</v>
      </c>
    </row>
    <row r="98" spans="1:90" x14ac:dyDescent="0.15">
      <c r="A98" s="86" t="str">
        <f t="shared" si="13"/>
        <v/>
      </c>
      <c r="B98" s="232"/>
      <c r="C98" s="233"/>
      <c r="D98" s="232"/>
      <c r="E98" s="233"/>
      <c r="F98" s="257"/>
      <c r="G98" s="258"/>
      <c r="H98" s="259"/>
      <c r="I98" s="155"/>
      <c r="J98" s="155"/>
      <c r="K98" s="160"/>
      <c r="L98" s="110"/>
      <c r="M98" s="102"/>
      <c r="N98" s="100"/>
      <c r="O98" s="218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24"/>
      <c r="BW98" s="124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6"/>
      <c r="CI98" s="6" t="b">
        <f t="shared" si="11"/>
        <v>0</v>
      </c>
      <c r="CJ98" s="24" t="str">
        <f t="shared" ca="1" si="12"/>
        <v/>
      </c>
      <c r="CK98" s="5">
        <f>IF(COUNTIF($B$13:B98,B98)+COUNTIF('入力方法（入院患者）'!$CR$15:$CR$24,B98)=1,1,0)</f>
        <v>0</v>
      </c>
      <c r="CL98" s="1">
        <f>SUM($CK$13:CK98)+$CL$11</f>
        <v>0</v>
      </c>
    </row>
    <row r="99" spans="1:90" x14ac:dyDescent="0.15">
      <c r="A99" s="86" t="str">
        <f t="shared" si="13"/>
        <v/>
      </c>
      <c r="B99" s="232"/>
      <c r="C99" s="233"/>
      <c r="D99" s="232"/>
      <c r="E99" s="233"/>
      <c r="F99" s="257"/>
      <c r="G99" s="258"/>
      <c r="H99" s="259"/>
      <c r="I99" s="155"/>
      <c r="J99" s="155"/>
      <c r="K99" s="160"/>
      <c r="L99" s="110"/>
      <c r="M99" s="102"/>
      <c r="N99" s="100"/>
      <c r="O99" s="218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24"/>
      <c r="BW99" s="124"/>
      <c r="BX99" s="125"/>
      <c r="BY99" s="125"/>
      <c r="BZ99" s="125"/>
      <c r="CA99" s="125"/>
      <c r="CB99" s="125"/>
      <c r="CC99" s="125"/>
      <c r="CD99" s="125"/>
      <c r="CE99" s="125"/>
      <c r="CF99" s="125"/>
      <c r="CG99" s="125"/>
      <c r="CH99" s="126"/>
      <c r="CI99" s="6" t="b">
        <f t="shared" si="11"/>
        <v>0</v>
      </c>
      <c r="CJ99" s="24" t="str">
        <f t="shared" ca="1" si="12"/>
        <v/>
      </c>
      <c r="CK99" s="5">
        <f>IF(COUNTIF($B$13:B99,B99)+COUNTIF('入力方法（入院患者）'!$CR$15:$CR$24,B99)=1,1,0)</f>
        <v>0</v>
      </c>
      <c r="CL99" s="1">
        <f>SUM($CK$13:CK99)+$CL$11</f>
        <v>0</v>
      </c>
    </row>
    <row r="100" spans="1:90" x14ac:dyDescent="0.15">
      <c r="A100" s="86" t="str">
        <f t="shared" si="13"/>
        <v/>
      </c>
      <c r="B100" s="232"/>
      <c r="C100" s="233"/>
      <c r="D100" s="232"/>
      <c r="E100" s="233"/>
      <c r="F100" s="257"/>
      <c r="G100" s="258"/>
      <c r="H100" s="259"/>
      <c r="I100" s="155"/>
      <c r="J100" s="155"/>
      <c r="K100" s="160"/>
      <c r="L100" s="110"/>
      <c r="M100" s="102"/>
      <c r="N100" s="100"/>
      <c r="O100" s="218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24"/>
      <c r="BW100" s="124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6"/>
      <c r="CI100" s="6" t="b">
        <f t="shared" si="11"/>
        <v>0</v>
      </c>
      <c r="CJ100" s="24" t="str">
        <f t="shared" ca="1" si="12"/>
        <v/>
      </c>
      <c r="CK100" s="5">
        <f>IF(COUNTIF($B$13:B100,B100)+COUNTIF('入力方法（入院患者）'!$CR$15:$CR$24,B100)=1,1,0)</f>
        <v>0</v>
      </c>
      <c r="CL100" s="1">
        <f>SUM($CK$13:CK100)+$CL$11</f>
        <v>0</v>
      </c>
    </row>
    <row r="101" spans="1:90" x14ac:dyDescent="0.15">
      <c r="A101" s="86" t="str">
        <f t="shared" si="13"/>
        <v/>
      </c>
      <c r="B101" s="232"/>
      <c r="C101" s="233"/>
      <c r="D101" s="232"/>
      <c r="E101" s="233"/>
      <c r="F101" s="257"/>
      <c r="G101" s="258"/>
      <c r="H101" s="259"/>
      <c r="I101" s="155"/>
      <c r="J101" s="155"/>
      <c r="K101" s="160"/>
      <c r="L101" s="110"/>
      <c r="M101" s="102"/>
      <c r="N101" s="100"/>
      <c r="O101" s="218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24"/>
      <c r="BW101" s="124"/>
      <c r="BX101" s="125"/>
      <c r="BY101" s="125"/>
      <c r="BZ101" s="125"/>
      <c r="CA101" s="125"/>
      <c r="CB101" s="125"/>
      <c r="CC101" s="125"/>
      <c r="CD101" s="125"/>
      <c r="CE101" s="125"/>
      <c r="CF101" s="125"/>
      <c r="CG101" s="125"/>
      <c r="CH101" s="126"/>
      <c r="CI101" s="6" t="b">
        <f t="shared" si="11"/>
        <v>0</v>
      </c>
      <c r="CJ101" s="24" t="str">
        <f t="shared" ca="1" si="12"/>
        <v/>
      </c>
      <c r="CK101" s="5">
        <f>IF(COUNTIF($B$13:B101,B101)+COUNTIF('入力方法（入院患者）'!$CR$15:$CR$24,B101)=1,1,0)</f>
        <v>0</v>
      </c>
      <c r="CL101" s="1">
        <f>SUM($CK$13:CK101)+$CL$11</f>
        <v>0</v>
      </c>
    </row>
    <row r="102" spans="1:90" x14ac:dyDescent="0.15">
      <c r="A102" s="86" t="str">
        <f t="shared" si="13"/>
        <v/>
      </c>
      <c r="B102" s="232"/>
      <c r="C102" s="233"/>
      <c r="D102" s="232"/>
      <c r="E102" s="233"/>
      <c r="F102" s="257"/>
      <c r="G102" s="258"/>
      <c r="H102" s="259"/>
      <c r="I102" s="155"/>
      <c r="J102" s="155"/>
      <c r="K102" s="160"/>
      <c r="L102" s="110"/>
      <c r="M102" s="102"/>
      <c r="N102" s="100"/>
      <c r="O102" s="218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24"/>
      <c r="BW102" s="124"/>
      <c r="BX102" s="125"/>
      <c r="BY102" s="125"/>
      <c r="BZ102" s="125"/>
      <c r="CA102" s="125"/>
      <c r="CB102" s="125"/>
      <c r="CC102" s="125"/>
      <c r="CD102" s="125"/>
      <c r="CE102" s="125"/>
      <c r="CF102" s="125"/>
      <c r="CG102" s="125"/>
      <c r="CH102" s="126"/>
      <c r="CI102" s="6" t="b">
        <f t="shared" si="11"/>
        <v>0</v>
      </c>
      <c r="CJ102" s="24" t="str">
        <f t="shared" ca="1" si="12"/>
        <v/>
      </c>
      <c r="CK102" s="5">
        <f>IF(COUNTIF($B$13:B102,B102)+COUNTIF('入力方法（入院患者）'!$CR$15:$CR$24,B102)=1,1,0)</f>
        <v>0</v>
      </c>
      <c r="CL102" s="1">
        <f>SUM($CK$13:CK102)+$CL$11</f>
        <v>0</v>
      </c>
    </row>
    <row r="103" spans="1:90" x14ac:dyDescent="0.15">
      <c r="A103" s="86" t="str">
        <f t="shared" si="13"/>
        <v/>
      </c>
      <c r="B103" s="232"/>
      <c r="C103" s="233"/>
      <c r="D103" s="232"/>
      <c r="E103" s="233"/>
      <c r="F103" s="257"/>
      <c r="G103" s="258"/>
      <c r="H103" s="259"/>
      <c r="I103" s="155"/>
      <c r="J103" s="155"/>
      <c r="K103" s="160"/>
      <c r="L103" s="110"/>
      <c r="M103" s="102"/>
      <c r="N103" s="100"/>
      <c r="O103" s="218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24"/>
      <c r="BW103" s="124"/>
      <c r="BX103" s="125"/>
      <c r="BY103" s="125"/>
      <c r="BZ103" s="125"/>
      <c r="CA103" s="125"/>
      <c r="CB103" s="125"/>
      <c r="CC103" s="125"/>
      <c r="CD103" s="125"/>
      <c r="CE103" s="125"/>
      <c r="CF103" s="125"/>
      <c r="CG103" s="125"/>
      <c r="CH103" s="126"/>
      <c r="CI103" s="6" t="b">
        <f t="shared" si="11"/>
        <v>0</v>
      </c>
      <c r="CJ103" s="24" t="str">
        <f t="shared" ca="1" si="12"/>
        <v/>
      </c>
      <c r="CK103" s="5">
        <f>IF(COUNTIF($B$13:B103,B103)+COUNTIF('入力方法（入院患者）'!$CR$15:$CR$24,B103)=1,1,0)</f>
        <v>0</v>
      </c>
      <c r="CL103" s="1">
        <f>SUM($CK$13:CK103)+$CL$11</f>
        <v>0</v>
      </c>
    </row>
    <row r="104" spans="1:90" x14ac:dyDescent="0.15">
      <c r="A104" s="86" t="str">
        <f t="shared" si="13"/>
        <v/>
      </c>
      <c r="B104" s="232"/>
      <c r="C104" s="233"/>
      <c r="D104" s="232"/>
      <c r="E104" s="233"/>
      <c r="F104" s="257"/>
      <c r="G104" s="258"/>
      <c r="H104" s="259"/>
      <c r="I104" s="155"/>
      <c r="J104" s="155"/>
      <c r="K104" s="160"/>
      <c r="L104" s="110"/>
      <c r="M104" s="102"/>
      <c r="N104" s="100"/>
      <c r="O104" s="218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24"/>
      <c r="BW104" s="124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6"/>
      <c r="CI104" s="6" t="b">
        <f t="shared" si="11"/>
        <v>0</v>
      </c>
      <c r="CJ104" s="24" t="str">
        <f t="shared" ca="1" si="12"/>
        <v/>
      </c>
      <c r="CK104" s="5">
        <f>IF(COUNTIF($B$13:B104,B104)+COUNTIF('入力方法（入院患者）'!$CR$15:$CR$24,B104)=1,1,0)</f>
        <v>0</v>
      </c>
      <c r="CL104" s="1">
        <f>SUM($CK$13:CK104)+$CL$11</f>
        <v>0</v>
      </c>
    </row>
    <row r="105" spans="1:90" x14ac:dyDescent="0.15">
      <c r="A105" s="86" t="str">
        <f t="shared" si="13"/>
        <v/>
      </c>
      <c r="B105" s="232"/>
      <c r="C105" s="233"/>
      <c r="D105" s="232"/>
      <c r="E105" s="233"/>
      <c r="F105" s="257"/>
      <c r="G105" s="258"/>
      <c r="H105" s="259"/>
      <c r="I105" s="155"/>
      <c r="J105" s="155"/>
      <c r="K105" s="160"/>
      <c r="L105" s="110"/>
      <c r="M105" s="102"/>
      <c r="N105" s="100"/>
      <c r="O105" s="218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24"/>
      <c r="BW105" s="124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6"/>
      <c r="CI105" s="6" t="b">
        <f t="shared" si="11"/>
        <v>0</v>
      </c>
      <c r="CJ105" s="24" t="str">
        <f t="shared" ca="1" si="12"/>
        <v/>
      </c>
      <c r="CK105" s="5">
        <f>IF(COUNTIF($B$13:B105,B105)+COUNTIF('入力方法（入院患者）'!$CR$15:$CR$24,B105)=1,1,0)</f>
        <v>0</v>
      </c>
      <c r="CL105" s="1">
        <f>SUM($CK$13:CK105)+$CL$11</f>
        <v>0</v>
      </c>
    </row>
    <row r="106" spans="1:90" x14ac:dyDescent="0.15">
      <c r="A106" s="86" t="str">
        <f t="shared" si="13"/>
        <v/>
      </c>
      <c r="B106" s="232"/>
      <c r="C106" s="233"/>
      <c r="D106" s="232"/>
      <c r="E106" s="233"/>
      <c r="F106" s="257"/>
      <c r="G106" s="258"/>
      <c r="H106" s="259"/>
      <c r="I106" s="155"/>
      <c r="J106" s="155"/>
      <c r="K106" s="160"/>
      <c r="L106" s="110"/>
      <c r="M106" s="102"/>
      <c r="N106" s="100"/>
      <c r="O106" s="218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24"/>
      <c r="BW106" s="124"/>
      <c r="BX106" s="125"/>
      <c r="BY106" s="125"/>
      <c r="BZ106" s="125"/>
      <c r="CA106" s="125"/>
      <c r="CB106" s="125"/>
      <c r="CC106" s="125"/>
      <c r="CD106" s="125"/>
      <c r="CE106" s="125"/>
      <c r="CF106" s="125"/>
      <c r="CG106" s="125"/>
      <c r="CH106" s="126"/>
      <c r="CI106" s="6" t="b">
        <f t="shared" si="11"/>
        <v>0</v>
      </c>
      <c r="CJ106" s="24" t="str">
        <f t="shared" ca="1" si="12"/>
        <v/>
      </c>
      <c r="CK106" s="5">
        <f>IF(COUNTIF($B$13:B106,B106)+COUNTIF('入力方法（入院患者）'!$CR$15:$CR$24,B106)=1,1,0)</f>
        <v>0</v>
      </c>
      <c r="CL106" s="1">
        <f>SUM($CK$13:CK106)+$CL$11</f>
        <v>0</v>
      </c>
    </row>
    <row r="107" spans="1:90" x14ac:dyDescent="0.15">
      <c r="A107" s="86" t="str">
        <f t="shared" si="13"/>
        <v/>
      </c>
      <c r="B107" s="232"/>
      <c r="C107" s="233"/>
      <c r="D107" s="232"/>
      <c r="E107" s="233"/>
      <c r="F107" s="257"/>
      <c r="G107" s="258"/>
      <c r="H107" s="259"/>
      <c r="I107" s="155"/>
      <c r="J107" s="155"/>
      <c r="K107" s="160"/>
      <c r="L107" s="110"/>
      <c r="M107" s="100"/>
      <c r="N107" s="100"/>
      <c r="O107" s="218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24"/>
      <c r="BW107" s="124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6"/>
      <c r="CI107" s="6" t="b">
        <f t="shared" si="11"/>
        <v>0</v>
      </c>
      <c r="CJ107" s="24" t="str">
        <f t="shared" ca="1" si="12"/>
        <v/>
      </c>
      <c r="CK107" s="5">
        <f>IF(COUNTIF($B$13:B107,B107)+COUNTIF('入力方法（入院患者）'!$CR$15:$CR$24,B107)=1,1,0)</f>
        <v>0</v>
      </c>
      <c r="CL107" s="1">
        <f>SUM($CK$13:CK107)+$CL$11</f>
        <v>0</v>
      </c>
    </row>
    <row r="108" spans="1:90" x14ac:dyDescent="0.15">
      <c r="A108" s="86" t="str">
        <f t="shared" si="13"/>
        <v/>
      </c>
      <c r="B108" s="232"/>
      <c r="C108" s="233"/>
      <c r="D108" s="232"/>
      <c r="E108" s="233"/>
      <c r="F108" s="257"/>
      <c r="G108" s="258"/>
      <c r="H108" s="259"/>
      <c r="I108" s="155"/>
      <c r="J108" s="155"/>
      <c r="K108" s="160"/>
      <c r="L108" s="110"/>
      <c r="M108" s="100"/>
      <c r="N108" s="100"/>
      <c r="O108" s="218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24"/>
      <c r="BW108" s="124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6"/>
      <c r="CI108" s="6" t="b">
        <f t="shared" si="11"/>
        <v>0</v>
      </c>
      <c r="CJ108" s="24" t="str">
        <f t="shared" ca="1" si="12"/>
        <v/>
      </c>
      <c r="CK108" s="5">
        <f>IF(COUNTIF($B$13:B108,B108)+COUNTIF('入力方法（入院患者）'!$CR$15:$CR$24,B108)=1,1,0)</f>
        <v>0</v>
      </c>
      <c r="CL108" s="1">
        <f>SUM($CK$13:CK108)+$CL$11</f>
        <v>0</v>
      </c>
    </row>
    <row r="109" spans="1:90" x14ac:dyDescent="0.15">
      <c r="A109" s="86" t="str">
        <f t="shared" si="13"/>
        <v/>
      </c>
      <c r="B109" s="232"/>
      <c r="C109" s="233"/>
      <c r="D109" s="232"/>
      <c r="E109" s="233"/>
      <c r="F109" s="257"/>
      <c r="G109" s="258"/>
      <c r="H109" s="259"/>
      <c r="I109" s="155"/>
      <c r="J109" s="155"/>
      <c r="K109" s="160"/>
      <c r="L109" s="110"/>
      <c r="M109" s="100"/>
      <c r="N109" s="100"/>
      <c r="O109" s="218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24"/>
      <c r="BW109" s="124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6"/>
      <c r="CI109" s="6" t="b">
        <f t="shared" si="11"/>
        <v>0</v>
      </c>
      <c r="CJ109" s="24" t="str">
        <f t="shared" ca="1" si="12"/>
        <v/>
      </c>
      <c r="CK109" s="5">
        <f>IF(COUNTIF($B$13:B109,B109)+COUNTIF('入力方法（入院患者）'!$CR$15:$CR$24,B109)=1,1,0)</f>
        <v>0</v>
      </c>
      <c r="CL109" s="1">
        <f>SUM($CK$13:CK109)+$CL$11</f>
        <v>0</v>
      </c>
    </row>
    <row r="110" spans="1:90" x14ac:dyDescent="0.15">
      <c r="A110" s="86" t="str">
        <f t="shared" si="13"/>
        <v/>
      </c>
      <c r="B110" s="232"/>
      <c r="C110" s="233"/>
      <c r="D110" s="232"/>
      <c r="E110" s="233"/>
      <c r="F110" s="257"/>
      <c r="G110" s="258"/>
      <c r="H110" s="259"/>
      <c r="I110" s="155"/>
      <c r="J110" s="155"/>
      <c r="K110" s="160"/>
      <c r="L110" s="110"/>
      <c r="M110" s="100"/>
      <c r="N110" s="100"/>
      <c r="O110" s="218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24"/>
      <c r="BW110" s="124"/>
      <c r="BX110" s="125"/>
      <c r="BY110" s="125"/>
      <c r="BZ110" s="125"/>
      <c r="CA110" s="125"/>
      <c r="CB110" s="125"/>
      <c r="CC110" s="125"/>
      <c r="CD110" s="125"/>
      <c r="CE110" s="125"/>
      <c r="CF110" s="125"/>
      <c r="CG110" s="125"/>
      <c r="CH110" s="126"/>
      <c r="CI110" s="6" t="b">
        <f t="shared" si="11"/>
        <v>0</v>
      </c>
      <c r="CJ110" s="24" t="str">
        <f t="shared" ca="1" si="12"/>
        <v/>
      </c>
      <c r="CK110" s="5">
        <f>IF(COUNTIF($B$13:B110,B110)+COUNTIF('入力方法（入院患者）'!$CR$15:$CR$24,B110)=1,1,0)</f>
        <v>0</v>
      </c>
      <c r="CL110" s="1">
        <f>SUM($CK$13:CK110)+$CL$11</f>
        <v>0</v>
      </c>
    </row>
    <row r="111" spans="1:90" x14ac:dyDescent="0.15">
      <c r="A111" s="86" t="str">
        <f t="shared" si="13"/>
        <v/>
      </c>
      <c r="B111" s="232"/>
      <c r="C111" s="233"/>
      <c r="D111" s="232"/>
      <c r="E111" s="233"/>
      <c r="F111" s="257"/>
      <c r="G111" s="258"/>
      <c r="H111" s="259"/>
      <c r="I111" s="155"/>
      <c r="J111" s="155"/>
      <c r="K111" s="160"/>
      <c r="L111" s="110"/>
      <c r="M111" s="100"/>
      <c r="N111" s="100"/>
      <c r="O111" s="218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24"/>
      <c r="BW111" s="124"/>
      <c r="BX111" s="125"/>
      <c r="BY111" s="125"/>
      <c r="BZ111" s="125"/>
      <c r="CA111" s="125"/>
      <c r="CB111" s="125"/>
      <c r="CC111" s="125"/>
      <c r="CD111" s="125"/>
      <c r="CE111" s="125"/>
      <c r="CF111" s="125"/>
      <c r="CG111" s="125"/>
      <c r="CH111" s="126"/>
      <c r="CI111" s="6" t="b">
        <f t="shared" si="11"/>
        <v>0</v>
      </c>
      <c r="CJ111" s="24" t="str">
        <f t="shared" ca="1" si="12"/>
        <v/>
      </c>
      <c r="CK111" s="5">
        <f>IF(COUNTIF($B$13:B111,B111)+COUNTIF('入力方法（入院患者）'!$CR$15:$CR$24,B111)=1,1,0)</f>
        <v>0</v>
      </c>
      <c r="CL111" s="1">
        <f>SUM($CK$13:CK111)+$CL$11</f>
        <v>0</v>
      </c>
    </row>
    <row r="112" spans="1:90" ht="14.25" thickBot="1" x14ac:dyDescent="0.2">
      <c r="A112" s="87" t="str">
        <f t="shared" si="13"/>
        <v/>
      </c>
      <c r="B112" s="227"/>
      <c r="C112" s="228"/>
      <c r="D112" s="232"/>
      <c r="E112" s="233"/>
      <c r="F112" s="257"/>
      <c r="G112" s="258"/>
      <c r="H112" s="259"/>
      <c r="I112" s="157"/>
      <c r="J112" s="157"/>
      <c r="K112" s="162"/>
      <c r="L112" s="162"/>
      <c r="M112" s="138"/>
      <c r="N112" s="138"/>
      <c r="O112" s="220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1"/>
      <c r="BN112" s="221"/>
      <c r="BO112" s="221"/>
      <c r="BP112" s="221"/>
      <c r="BQ112" s="221"/>
      <c r="BR112" s="221"/>
      <c r="BS112" s="221"/>
      <c r="BT112" s="221"/>
      <c r="BU112" s="221"/>
      <c r="BV112" s="225"/>
      <c r="BW112" s="144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6"/>
      <c r="CI112" s="6" t="b">
        <f t="shared" si="11"/>
        <v>0</v>
      </c>
      <c r="CJ112" s="24" t="str">
        <f t="shared" ca="1" si="12"/>
        <v/>
      </c>
      <c r="CK112" s="5">
        <f>IF(COUNTIF($B$13:B112,B112)+COUNTIF('入力方法（入院患者）'!$CR$15:$CR$24,B112)=1,1,0)</f>
        <v>0</v>
      </c>
      <c r="CL112" s="1">
        <f>SUM($CK$13:CK112)+$CL$11</f>
        <v>0</v>
      </c>
    </row>
    <row r="113" spans="86:88" x14ac:dyDescent="0.15">
      <c r="CH113" s="1"/>
      <c r="CJ113" s="20"/>
    </row>
    <row r="114" spans="86:88" x14ac:dyDescent="0.15">
      <c r="CH114" s="1"/>
      <c r="CJ114" s="20"/>
    </row>
    <row r="115" spans="86:88" x14ac:dyDescent="0.15">
      <c r="CH115" s="1"/>
      <c r="CJ115" s="20"/>
    </row>
    <row r="116" spans="86:88" x14ac:dyDescent="0.15">
      <c r="CH116" s="1"/>
      <c r="CJ116" s="20"/>
    </row>
    <row r="117" spans="86:88" x14ac:dyDescent="0.15">
      <c r="CH117" s="1"/>
      <c r="CJ117" s="20"/>
    </row>
    <row r="118" spans="86:88" x14ac:dyDescent="0.15">
      <c r="CH118" s="1"/>
      <c r="CJ118" s="20"/>
    </row>
    <row r="119" spans="86:88" x14ac:dyDescent="0.15">
      <c r="CH119" s="1"/>
      <c r="CJ119" s="20"/>
    </row>
  </sheetData>
  <mergeCells count="323">
    <mergeCell ref="B111:C111"/>
    <mergeCell ref="F111:H111"/>
    <mergeCell ref="B112:C112"/>
    <mergeCell ref="F112:H112"/>
    <mergeCell ref="D111:E111"/>
    <mergeCell ref="D112:E112"/>
    <mergeCell ref="B109:C109"/>
    <mergeCell ref="F109:H109"/>
    <mergeCell ref="B110:C110"/>
    <mergeCell ref="F110:H110"/>
    <mergeCell ref="D109:E109"/>
    <mergeCell ref="D110:E110"/>
    <mergeCell ref="B107:C107"/>
    <mergeCell ref="F107:H107"/>
    <mergeCell ref="B108:C108"/>
    <mergeCell ref="F108:H108"/>
    <mergeCell ref="D107:E107"/>
    <mergeCell ref="D108:E108"/>
    <mergeCell ref="B105:C105"/>
    <mergeCell ref="F105:H105"/>
    <mergeCell ref="B106:C106"/>
    <mergeCell ref="F106:H106"/>
    <mergeCell ref="D105:E105"/>
    <mergeCell ref="D106:E106"/>
    <mergeCell ref="B103:C103"/>
    <mergeCell ref="F103:H103"/>
    <mergeCell ref="B104:C104"/>
    <mergeCell ref="F104:H104"/>
    <mergeCell ref="D103:E103"/>
    <mergeCell ref="D104:E104"/>
    <mergeCell ref="B101:C101"/>
    <mergeCell ref="F101:H101"/>
    <mergeCell ref="B102:C102"/>
    <mergeCell ref="F102:H102"/>
    <mergeCell ref="D101:E101"/>
    <mergeCell ref="D102:E102"/>
    <mergeCell ref="B99:C99"/>
    <mergeCell ref="F99:H99"/>
    <mergeCell ref="B100:C100"/>
    <mergeCell ref="F100:H100"/>
    <mergeCell ref="D99:E99"/>
    <mergeCell ref="D100:E100"/>
    <mergeCell ref="B97:C97"/>
    <mergeCell ref="F97:H97"/>
    <mergeCell ref="B98:C98"/>
    <mergeCell ref="F98:H98"/>
    <mergeCell ref="D97:E97"/>
    <mergeCell ref="D98:E98"/>
    <mergeCell ref="B95:C95"/>
    <mergeCell ref="F95:H95"/>
    <mergeCell ref="B96:C96"/>
    <mergeCell ref="F96:H96"/>
    <mergeCell ref="D95:E95"/>
    <mergeCell ref="D96:E96"/>
    <mergeCell ref="B93:C93"/>
    <mergeCell ref="F93:H93"/>
    <mergeCell ref="B94:C94"/>
    <mergeCell ref="F94:H94"/>
    <mergeCell ref="D93:E93"/>
    <mergeCell ref="D94:E94"/>
    <mergeCell ref="B91:C91"/>
    <mergeCell ref="F91:H91"/>
    <mergeCell ref="B92:C92"/>
    <mergeCell ref="F92:H92"/>
    <mergeCell ref="D91:E91"/>
    <mergeCell ref="D92:E92"/>
    <mergeCell ref="B89:C89"/>
    <mergeCell ref="F89:H89"/>
    <mergeCell ref="B90:C90"/>
    <mergeCell ref="F90:H90"/>
    <mergeCell ref="D89:E89"/>
    <mergeCell ref="D90:E90"/>
    <mergeCell ref="B87:C87"/>
    <mergeCell ref="F87:H87"/>
    <mergeCell ref="B88:C88"/>
    <mergeCell ref="F88:H88"/>
    <mergeCell ref="D87:E87"/>
    <mergeCell ref="D88:E88"/>
    <mergeCell ref="B85:C85"/>
    <mergeCell ref="F85:H85"/>
    <mergeCell ref="B86:C86"/>
    <mergeCell ref="F86:H86"/>
    <mergeCell ref="D85:E85"/>
    <mergeCell ref="D86:E86"/>
    <mergeCell ref="B83:C83"/>
    <mergeCell ref="F83:H83"/>
    <mergeCell ref="B84:C84"/>
    <mergeCell ref="F84:H84"/>
    <mergeCell ref="D83:E83"/>
    <mergeCell ref="D84:E84"/>
    <mergeCell ref="B81:C81"/>
    <mergeCell ref="F81:H81"/>
    <mergeCell ref="B82:C82"/>
    <mergeCell ref="F82:H82"/>
    <mergeCell ref="D81:E81"/>
    <mergeCell ref="D82:E82"/>
    <mergeCell ref="B79:C79"/>
    <mergeCell ref="F79:H79"/>
    <mergeCell ref="B80:C80"/>
    <mergeCell ref="F80:H80"/>
    <mergeCell ref="D79:E79"/>
    <mergeCell ref="D80:E80"/>
    <mergeCell ref="B77:C77"/>
    <mergeCell ref="F77:H77"/>
    <mergeCell ref="B78:C78"/>
    <mergeCell ref="F78:H78"/>
    <mergeCell ref="D77:E77"/>
    <mergeCell ref="D78:E78"/>
    <mergeCell ref="B75:C75"/>
    <mergeCell ref="F75:H75"/>
    <mergeCell ref="B76:C76"/>
    <mergeCell ref="F76:H76"/>
    <mergeCell ref="D75:E75"/>
    <mergeCell ref="D76:E76"/>
    <mergeCell ref="B73:C73"/>
    <mergeCell ref="F73:H73"/>
    <mergeCell ref="B74:C74"/>
    <mergeCell ref="F74:H74"/>
    <mergeCell ref="D73:E73"/>
    <mergeCell ref="D74:E74"/>
    <mergeCell ref="B71:C71"/>
    <mergeCell ref="F71:H71"/>
    <mergeCell ref="B72:C72"/>
    <mergeCell ref="F72:H72"/>
    <mergeCell ref="D71:E71"/>
    <mergeCell ref="D72:E72"/>
    <mergeCell ref="B69:C69"/>
    <mergeCell ref="F69:H69"/>
    <mergeCell ref="B70:C70"/>
    <mergeCell ref="F70:H70"/>
    <mergeCell ref="D69:E69"/>
    <mergeCell ref="D70:E70"/>
    <mergeCell ref="B67:C67"/>
    <mergeCell ref="F67:H67"/>
    <mergeCell ref="B68:C68"/>
    <mergeCell ref="F68:H68"/>
    <mergeCell ref="D67:E67"/>
    <mergeCell ref="D68:E68"/>
    <mergeCell ref="B65:C65"/>
    <mergeCell ref="F65:H65"/>
    <mergeCell ref="B66:C66"/>
    <mergeCell ref="F66:H66"/>
    <mergeCell ref="D65:E65"/>
    <mergeCell ref="D66:E66"/>
    <mergeCell ref="B63:C63"/>
    <mergeCell ref="F63:H63"/>
    <mergeCell ref="B64:C64"/>
    <mergeCell ref="F64:H64"/>
    <mergeCell ref="D63:E63"/>
    <mergeCell ref="D64:E64"/>
    <mergeCell ref="B61:C61"/>
    <mergeCell ref="F61:H61"/>
    <mergeCell ref="B62:C62"/>
    <mergeCell ref="F62:H62"/>
    <mergeCell ref="D61:E61"/>
    <mergeCell ref="D62:E62"/>
    <mergeCell ref="B59:C59"/>
    <mergeCell ref="F59:H59"/>
    <mergeCell ref="B60:C60"/>
    <mergeCell ref="F60:H60"/>
    <mergeCell ref="D59:E59"/>
    <mergeCell ref="D60:E60"/>
    <mergeCell ref="B57:C57"/>
    <mergeCell ref="F57:H57"/>
    <mergeCell ref="B58:C58"/>
    <mergeCell ref="F58:H58"/>
    <mergeCell ref="D57:E57"/>
    <mergeCell ref="D58:E58"/>
    <mergeCell ref="B55:C55"/>
    <mergeCell ref="F55:H55"/>
    <mergeCell ref="B56:C56"/>
    <mergeCell ref="F56:H56"/>
    <mergeCell ref="D55:E55"/>
    <mergeCell ref="D56:E56"/>
    <mergeCell ref="B53:C53"/>
    <mergeCell ref="F53:H53"/>
    <mergeCell ref="B54:C54"/>
    <mergeCell ref="F54:H54"/>
    <mergeCell ref="D53:E53"/>
    <mergeCell ref="D54:E54"/>
    <mergeCell ref="B51:C51"/>
    <mergeCell ref="F51:H51"/>
    <mergeCell ref="B52:C52"/>
    <mergeCell ref="F52:H52"/>
    <mergeCell ref="D51:E51"/>
    <mergeCell ref="D52:E52"/>
    <mergeCell ref="B49:C49"/>
    <mergeCell ref="F49:H49"/>
    <mergeCell ref="B50:C50"/>
    <mergeCell ref="F50:H50"/>
    <mergeCell ref="D49:E49"/>
    <mergeCell ref="D50:E50"/>
    <mergeCell ref="B47:C47"/>
    <mergeCell ref="F47:H47"/>
    <mergeCell ref="B48:C48"/>
    <mergeCell ref="F48:H48"/>
    <mergeCell ref="D47:E47"/>
    <mergeCell ref="D48:E48"/>
    <mergeCell ref="B45:C45"/>
    <mergeCell ref="F45:H45"/>
    <mergeCell ref="B46:C46"/>
    <mergeCell ref="F46:H46"/>
    <mergeCell ref="D45:E45"/>
    <mergeCell ref="D46:E46"/>
    <mergeCell ref="B43:C43"/>
    <mergeCell ref="F43:H43"/>
    <mergeCell ref="B44:C44"/>
    <mergeCell ref="F44:H44"/>
    <mergeCell ref="D43:E43"/>
    <mergeCell ref="D44:E44"/>
    <mergeCell ref="B41:C41"/>
    <mergeCell ref="F41:H41"/>
    <mergeCell ref="B42:C42"/>
    <mergeCell ref="F42:H42"/>
    <mergeCell ref="D41:E41"/>
    <mergeCell ref="D42:E42"/>
    <mergeCell ref="B39:C39"/>
    <mergeCell ref="F39:H39"/>
    <mergeCell ref="B40:C40"/>
    <mergeCell ref="F40:H40"/>
    <mergeCell ref="D39:E39"/>
    <mergeCell ref="D40:E40"/>
    <mergeCell ref="B37:C37"/>
    <mergeCell ref="F37:H37"/>
    <mergeCell ref="B38:C38"/>
    <mergeCell ref="F38:H38"/>
    <mergeCell ref="D37:E37"/>
    <mergeCell ref="D38:E38"/>
    <mergeCell ref="B35:C35"/>
    <mergeCell ref="F35:H35"/>
    <mergeCell ref="B36:C36"/>
    <mergeCell ref="F36:H36"/>
    <mergeCell ref="D35:E35"/>
    <mergeCell ref="D36:E36"/>
    <mergeCell ref="B33:C33"/>
    <mergeCell ref="F33:H33"/>
    <mergeCell ref="B34:C34"/>
    <mergeCell ref="F34:H34"/>
    <mergeCell ref="D33:E33"/>
    <mergeCell ref="D34:E34"/>
    <mergeCell ref="B31:C31"/>
    <mergeCell ref="F31:H31"/>
    <mergeCell ref="B32:C32"/>
    <mergeCell ref="F32:H32"/>
    <mergeCell ref="D31:E31"/>
    <mergeCell ref="D32:E32"/>
    <mergeCell ref="B29:C29"/>
    <mergeCell ref="F29:H29"/>
    <mergeCell ref="B30:C30"/>
    <mergeCell ref="F30:H30"/>
    <mergeCell ref="D29:E29"/>
    <mergeCell ref="D30:E30"/>
    <mergeCell ref="B27:C27"/>
    <mergeCell ref="F27:H27"/>
    <mergeCell ref="B28:C28"/>
    <mergeCell ref="F28:H28"/>
    <mergeCell ref="D27:E27"/>
    <mergeCell ref="D28:E28"/>
    <mergeCell ref="B25:C25"/>
    <mergeCell ref="F25:H25"/>
    <mergeCell ref="B26:C26"/>
    <mergeCell ref="F26:H26"/>
    <mergeCell ref="D25:E25"/>
    <mergeCell ref="D26:E26"/>
    <mergeCell ref="B23:C23"/>
    <mergeCell ref="F23:H23"/>
    <mergeCell ref="B24:C24"/>
    <mergeCell ref="F24:H24"/>
    <mergeCell ref="D23:E23"/>
    <mergeCell ref="D24:E24"/>
    <mergeCell ref="B21:C21"/>
    <mergeCell ref="F21:H21"/>
    <mergeCell ref="B22:C22"/>
    <mergeCell ref="F22:H22"/>
    <mergeCell ref="D21:E21"/>
    <mergeCell ref="D22:E22"/>
    <mergeCell ref="B19:C19"/>
    <mergeCell ref="F19:H19"/>
    <mergeCell ref="B20:C20"/>
    <mergeCell ref="F20:H20"/>
    <mergeCell ref="D19:E19"/>
    <mergeCell ref="D20:E20"/>
    <mergeCell ref="B17:C17"/>
    <mergeCell ref="F17:H17"/>
    <mergeCell ref="B18:C18"/>
    <mergeCell ref="F18:H18"/>
    <mergeCell ref="D17:E17"/>
    <mergeCell ref="D18:E18"/>
    <mergeCell ref="CK12:CL12"/>
    <mergeCell ref="B13:C13"/>
    <mergeCell ref="F13:H13"/>
    <mergeCell ref="B14:C14"/>
    <mergeCell ref="F14:H14"/>
    <mergeCell ref="D13:E13"/>
    <mergeCell ref="D14:E14"/>
    <mergeCell ref="J10:J12"/>
    <mergeCell ref="K10:L10"/>
    <mergeCell ref="N10:N12"/>
    <mergeCell ref="BW10:CH12"/>
    <mergeCell ref="K11:K12"/>
    <mergeCell ref="L11:L12"/>
    <mergeCell ref="B15:C15"/>
    <mergeCell ref="F15:H15"/>
    <mergeCell ref="M10:M12"/>
    <mergeCell ref="A2:B2"/>
    <mergeCell ref="C2:G2"/>
    <mergeCell ref="A3:B3"/>
    <mergeCell ref="C3:G3"/>
    <mergeCell ref="B16:C16"/>
    <mergeCell ref="F16:H16"/>
    <mergeCell ref="D15:E15"/>
    <mergeCell ref="D16:E16"/>
    <mergeCell ref="BW3:BZ3"/>
    <mergeCell ref="CA3:CF3"/>
    <mergeCell ref="CG3:CH3"/>
    <mergeCell ref="A4:B4"/>
    <mergeCell ref="A5:C5"/>
    <mergeCell ref="D5:G5"/>
    <mergeCell ref="A10:A12"/>
    <mergeCell ref="B10:C12"/>
    <mergeCell ref="D10:E12"/>
    <mergeCell ref="F10:H12"/>
    <mergeCell ref="I10:I12"/>
  </mergeCells>
  <phoneticPr fontId="1"/>
  <conditionalFormatting sqref="L13:L112">
    <cfRule type="expression" dxfId="6" priority="8" stopIfTrue="1">
      <formula>$K13="未実施"</formula>
    </cfRule>
  </conditionalFormatting>
  <conditionalFormatting sqref="CR12:CT13">
    <cfRule type="expression" dxfId="5" priority="6" stopIfTrue="1">
      <formula>$CS$12&lt;&gt;""</formula>
    </cfRule>
  </conditionalFormatting>
  <conditionalFormatting sqref="CN12:CP23">
    <cfRule type="expression" dxfId="4" priority="5">
      <formula>$CO$12&lt;&gt;""</formula>
    </cfRule>
  </conditionalFormatting>
  <conditionalFormatting sqref="CN26:CP37">
    <cfRule type="expression" dxfId="3" priority="3">
      <formula>$CO$26&lt;&gt;""</formula>
    </cfRule>
  </conditionalFormatting>
  <conditionalFormatting sqref="CR26:CT27">
    <cfRule type="expression" dxfId="2" priority="2">
      <formula>$CS$26&lt;&gt;""</formula>
    </cfRule>
  </conditionalFormatting>
  <conditionalFormatting sqref="P10:BV10">
    <cfRule type="expression" dxfId="1" priority="1" stopIfTrue="1">
      <formula>P$10&lt;&gt;""</formula>
    </cfRule>
  </conditionalFormatting>
  <conditionalFormatting sqref="O13:BV112">
    <cfRule type="expression" dxfId="0" priority="36" stopIfTrue="1">
      <formula>$CA$3=O$9</formula>
    </cfRule>
  </conditionalFormatting>
  <dataValidations count="3">
    <dataValidation type="list" allowBlank="1" showInputMessage="1" showErrorMessage="1" sqref="O13:BV112">
      <formula1>"○"</formula1>
    </dataValidation>
    <dataValidation type="list" allowBlank="1" showInputMessage="1" showErrorMessage="1" sqref="K13:K112">
      <formula1>"陽性,陰性,未実施"</formula1>
    </dataValidation>
    <dataValidation type="list" allowBlank="1" showInputMessage="1" showErrorMessage="1" sqref="I13:I27">
      <formula1>"男,女"</formula1>
    </dataValidation>
  </dataValidations>
  <hyperlinks>
    <hyperlink ref="K4" location="'入力方法（職員）'!CT10" display="こちら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7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9.125" customWidth="1"/>
    <col min="2" max="4" width="10.5" customWidth="1"/>
    <col min="5" max="5" width="10.5" bestFit="1" customWidth="1"/>
    <col min="34" max="34" width="9" style="23"/>
    <col min="63" max="63" width="9.25" bestFit="1" customWidth="1"/>
  </cols>
  <sheetData>
    <row r="1" spans="1:63" ht="20.100000000000001" customHeight="1" thickBot="1" x14ac:dyDescent="0.2">
      <c r="A1" t="s">
        <v>64</v>
      </c>
      <c r="B1" s="54"/>
      <c r="C1" s="54"/>
      <c r="BK1" s="19"/>
    </row>
    <row r="2" spans="1:63" ht="20.100000000000001" customHeight="1" thickBot="1" x14ac:dyDescent="0.2">
      <c r="A2" s="60"/>
      <c r="B2" s="61" t="s">
        <v>43</v>
      </c>
      <c r="C2" s="62" t="e">
        <f>IF('記載様式（入院患者）'!O9&lt;='記載様式（入院患者）'!$CC$3,'記載様式（入院患者）'!O9,"")</f>
        <v>#VALUE!</v>
      </c>
      <c r="D2" s="63" t="e">
        <f>IF('記載様式（入院患者）'!P9&lt;='記載様式（入院患者）'!$CC$3,'記載様式（入院患者）'!P9,"")</f>
        <v>#VALUE!</v>
      </c>
      <c r="E2" s="63" t="e">
        <f>IF('記載様式（入院患者）'!Q9&lt;='記載様式（入院患者）'!$CC$3,'記載様式（入院患者）'!Q9,"")</f>
        <v>#VALUE!</v>
      </c>
      <c r="F2" s="63" t="e">
        <f>IF('記載様式（入院患者）'!R9&lt;='記載様式（入院患者）'!$CC$3,'記載様式（入院患者）'!R9,"")</f>
        <v>#VALUE!</v>
      </c>
      <c r="G2" s="63" t="e">
        <f>IF('記載様式（入院患者）'!S9&lt;='記載様式（入院患者）'!$CC$3,'記載様式（入院患者）'!S9,"")</f>
        <v>#VALUE!</v>
      </c>
      <c r="H2" s="63" t="e">
        <f>IF('記載様式（入院患者）'!T9&lt;='記載様式（入院患者）'!$CC$3,'記載様式（入院患者）'!T9,"")</f>
        <v>#VALUE!</v>
      </c>
      <c r="I2" s="63" t="e">
        <f>IF('記載様式（入院患者）'!U9&lt;='記載様式（入院患者）'!$CC$3,'記載様式（入院患者）'!U9,"")</f>
        <v>#VALUE!</v>
      </c>
      <c r="J2" s="63" t="e">
        <f>IF('記載様式（入院患者）'!V9&lt;='記載様式（入院患者）'!$CC$3,'記載様式（入院患者）'!V9,"")</f>
        <v>#VALUE!</v>
      </c>
      <c r="K2" s="63" t="e">
        <f>IF('記載様式（入院患者）'!W9&lt;='記載様式（入院患者）'!$CC$3,'記載様式（入院患者）'!W9,"")</f>
        <v>#VALUE!</v>
      </c>
      <c r="L2" s="63" t="e">
        <f>IF('記載様式（入院患者）'!X9&lt;='記載様式（入院患者）'!$CC$3,'記載様式（入院患者）'!X9,"")</f>
        <v>#VALUE!</v>
      </c>
      <c r="M2" s="63" t="e">
        <f>IF('記載様式（入院患者）'!Y9&lt;='記載様式（入院患者）'!$CC$3,'記載様式（入院患者）'!Y9,"")</f>
        <v>#VALUE!</v>
      </c>
      <c r="N2" s="63" t="e">
        <f>IF('記載様式（入院患者）'!Z9&lt;='記載様式（入院患者）'!$CC$3,'記載様式（入院患者）'!Z9,"")</f>
        <v>#VALUE!</v>
      </c>
      <c r="O2" s="63" t="e">
        <f>IF('記載様式（入院患者）'!AA9&lt;='記載様式（入院患者）'!$CC$3,'記載様式（入院患者）'!AA9,"")</f>
        <v>#VALUE!</v>
      </c>
      <c r="P2" s="63" t="e">
        <f>IF('記載様式（入院患者）'!AB9&lt;='記載様式（入院患者）'!$CC$3,'記載様式（入院患者）'!AB9,"")</f>
        <v>#VALUE!</v>
      </c>
      <c r="Q2" s="63" t="e">
        <f>IF('記載様式（入院患者）'!AC9&lt;='記載様式（入院患者）'!$CC$3,'記載様式（入院患者）'!AC9,"")</f>
        <v>#VALUE!</v>
      </c>
      <c r="R2" s="63" t="e">
        <f>IF('記載様式（入院患者）'!AD9&lt;='記載様式（入院患者）'!$CC$3,'記載様式（入院患者）'!AD9,"")</f>
        <v>#VALUE!</v>
      </c>
      <c r="S2" s="63" t="e">
        <f>IF('記載様式（入院患者）'!AE9&lt;='記載様式（入院患者）'!$CC$3,'記載様式（入院患者）'!AE9,"")</f>
        <v>#VALUE!</v>
      </c>
      <c r="T2" s="63" t="e">
        <f>IF('記載様式（入院患者）'!AF9&lt;='記載様式（入院患者）'!$CC$3,'記載様式（入院患者）'!AF9,"")</f>
        <v>#VALUE!</v>
      </c>
      <c r="U2" s="63" t="e">
        <f>IF('記載様式（入院患者）'!AG9&lt;='記載様式（入院患者）'!$CC$3,'記載様式（入院患者）'!AG9,"")</f>
        <v>#VALUE!</v>
      </c>
      <c r="V2" s="63" t="e">
        <f>IF('記載様式（入院患者）'!AH9&lt;='記載様式（入院患者）'!$CC$3,'記載様式（入院患者）'!AH9,"")</f>
        <v>#VALUE!</v>
      </c>
      <c r="W2" s="63" t="e">
        <f>IF('記載様式（入院患者）'!AI9&lt;='記載様式（入院患者）'!$CC$3,'記載様式（入院患者）'!AI9,"")</f>
        <v>#VALUE!</v>
      </c>
      <c r="X2" s="63" t="e">
        <f>IF('記載様式（入院患者）'!AJ9&lt;='記載様式（入院患者）'!$CC$3,'記載様式（入院患者）'!AJ9,"")</f>
        <v>#VALUE!</v>
      </c>
      <c r="Y2" s="63" t="e">
        <f>IF('記載様式（入院患者）'!AK9&lt;='記載様式（入院患者）'!$CC$3,'記載様式（入院患者）'!AK9,"")</f>
        <v>#VALUE!</v>
      </c>
      <c r="Z2" s="63" t="e">
        <f>IF('記載様式（入院患者）'!AL9&lt;='記載様式（入院患者）'!$CC$3,'記載様式（入院患者）'!AL9,"")</f>
        <v>#VALUE!</v>
      </c>
      <c r="AA2" s="63" t="e">
        <f>IF('記載様式（入院患者）'!AM9&lt;='記載様式（入院患者）'!$CC$3,'記載様式（入院患者）'!AM9,"")</f>
        <v>#VALUE!</v>
      </c>
      <c r="AB2" s="63" t="e">
        <f>IF('記載様式（入院患者）'!AN9&lt;='記載様式（入院患者）'!$CC$3,'記載様式（入院患者）'!AN9,"")</f>
        <v>#VALUE!</v>
      </c>
      <c r="AC2" s="63" t="e">
        <f>IF('記載様式（入院患者）'!AO9&lt;='記載様式（入院患者）'!$CC$3,'記載様式（入院患者）'!AO9,"")</f>
        <v>#VALUE!</v>
      </c>
      <c r="AD2" s="63" t="e">
        <f>IF('記載様式（入院患者）'!AP9&lt;='記載様式（入院患者）'!$CC$3,'記載様式（入院患者）'!AP9,"")</f>
        <v>#VALUE!</v>
      </c>
      <c r="AE2" s="63" t="e">
        <f>IF('記載様式（入院患者）'!AQ9&lt;='記載様式（入院患者）'!$CC$3,'記載様式（入院患者）'!AQ9,"")</f>
        <v>#VALUE!</v>
      </c>
      <c r="AF2" s="63" t="e">
        <f>IF('記載様式（入院患者）'!AR9&lt;='記載様式（入院患者）'!$CC$3,'記載様式（入院患者）'!AR9,"")</f>
        <v>#VALUE!</v>
      </c>
      <c r="AG2" s="63" t="e">
        <f>IF('記載様式（入院患者）'!AS9&lt;='記載様式（入院患者）'!$CC$3,'記載様式（入院患者）'!AS9,"")</f>
        <v>#VALUE!</v>
      </c>
      <c r="AH2" s="63" t="e">
        <f>IF('記載様式（入院患者）'!AT9&lt;='記載様式（入院患者）'!$CC$3,'記載様式（入院患者）'!AT9,"")</f>
        <v>#VALUE!</v>
      </c>
      <c r="AI2" s="63" t="e">
        <f>IF('記載様式（入院患者）'!AU9&lt;='記載様式（入院患者）'!$CC$3,'記載様式（入院患者）'!AU9,"")</f>
        <v>#VALUE!</v>
      </c>
      <c r="AJ2" s="63" t="e">
        <f>IF('記載様式（入院患者）'!AV9&lt;='記載様式（入院患者）'!$CC$3,'記載様式（入院患者）'!AV9,"")</f>
        <v>#VALUE!</v>
      </c>
      <c r="AK2" s="63" t="e">
        <f>IF('記載様式（入院患者）'!AW9&lt;='記載様式（入院患者）'!$CC$3,'記載様式（入院患者）'!AW9,"")</f>
        <v>#VALUE!</v>
      </c>
      <c r="AL2" s="63" t="e">
        <f>IF('記載様式（入院患者）'!AX9&lt;='記載様式（入院患者）'!$CC$3,'記載様式（入院患者）'!AX9,"")</f>
        <v>#VALUE!</v>
      </c>
      <c r="AM2" s="63" t="e">
        <f>IF('記載様式（入院患者）'!AY9&lt;='記載様式（入院患者）'!$CC$3,'記載様式（入院患者）'!AY9,"")</f>
        <v>#VALUE!</v>
      </c>
      <c r="AN2" s="63" t="e">
        <f>IF('記載様式（入院患者）'!AZ9&lt;='記載様式（入院患者）'!$CC$3,'記載様式（入院患者）'!AZ9,"")</f>
        <v>#VALUE!</v>
      </c>
      <c r="AO2" s="63" t="e">
        <f>IF('記載様式（入院患者）'!BA9&lt;='記載様式（入院患者）'!$CC$3,'記載様式（入院患者）'!BA9,"")</f>
        <v>#VALUE!</v>
      </c>
      <c r="AP2" s="63" t="e">
        <f>IF('記載様式（入院患者）'!BB9&lt;='記載様式（入院患者）'!$CC$3,'記載様式（入院患者）'!BB9,"")</f>
        <v>#VALUE!</v>
      </c>
      <c r="AQ2" s="63" t="e">
        <f>IF('記載様式（入院患者）'!BC9&lt;='記載様式（入院患者）'!$CC$3,'記載様式（入院患者）'!BC9,"")</f>
        <v>#VALUE!</v>
      </c>
      <c r="AR2" s="63" t="e">
        <f>IF('記載様式（入院患者）'!BD9&lt;='記載様式（入院患者）'!$CC$3,'記載様式（入院患者）'!BD9,"")</f>
        <v>#VALUE!</v>
      </c>
      <c r="AS2" s="63" t="e">
        <f>IF('記載様式（入院患者）'!BE9&lt;='記載様式（入院患者）'!$CC$3,'記載様式（入院患者）'!BE9,"")</f>
        <v>#VALUE!</v>
      </c>
      <c r="AT2" s="63" t="e">
        <f>IF('記載様式（入院患者）'!BF9&lt;='記載様式（入院患者）'!$CC$3,'記載様式（入院患者）'!BF9,"")</f>
        <v>#VALUE!</v>
      </c>
      <c r="AU2" s="63" t="e">
        <f>IF('記載様式（入院患者）'!BG9&lt;='記載様式（入院患者）'!$CC$3,'記載様式（入院患者）'!BG9,"")</f>
        <v>#VALUE!</v>
      </c>
      <c r="AV2" s="63" t="e">
        <f>IF('記載様式（入院患者）'!BH9&lt;='記載様式（入院患者）'!$CC$3,'記載様式（入院患者）'!BH9,"")</f>
        <v>#VALUE!</v>
      </c>
      <c r="AW2" s="63" t="e">
        <f>IF('記載様式（入院患者）'!BI9&lt;='記載様式（入院患者）'!$CC$3,'記載様式（入院患者）'!BI9,"")</f>
        <v>#VALUE!</v>
      </c>
      <c r="AX2" s="63" t="e">
        <f>IF('記載様式（入院患者）'!BJ9&lt;='記載様式（入院患者）'!$CC$3,'記載様式（入院患者）'!BJ9,"")</f>
        <v>#VALUE!</v>
      </c>
      <c r="AY2" s="63" t="e">
        <f>IF('記載様式（入院患者）'!BK9&lt;='記載様式（入院患者）'!$CC$3,'記載様式（入院患者）'!BK9,"")</f>
        <v>#VALUE!</v>
      </c>
      <c r="AZ2" s="63" t="e">
        <f>IF('記載様式（入院患者）'!BL9&lt;='記載様式（入院患者）'!$CC$3,'記載様式（入院患者）'!BL9,"")</f>
        <v>#VALUE!</v>
      </c>
      <c r="BA2" s="63" t="e">
        <f>IF('記載様式（入院患者）'!BM9&lt;='記載様式（入院患者）'!$CC$3,'記載様式（入院患者）'!BM9,"")</f>
        <v>#VALUE!</v>
      </c>
      <c r="BB2" s="63" t="e">
        <f>IF('記載様式（入院患者）'!BN9&lt;='記載様式（入院患者）'!$CC$3,'記載様式（入院患者）'!BN9,"")</f>
        <v>#VALUE!</v>
      </c>
      <c r="BC2" s="63" t="e">
        <f>IF('記載様式（入院患者）'!BO9&lt;='記載様式（入院患者）'!$CC$3,'記載様式（入院患者）'!BO9,"")</f>
        <v>#VALUE!</v>
      </c>
      <c r="BD2" s="63" t="e">
        <f>IF('記載様式（入院患者）'!BP9&lt;='記載様式（入院患者）'!$CC$3,'記載様式（入院患者）'!BP9,"")</f>
        <v>#VALUE!</v>
      </c>
      <c r="BE2" s="63" t="e">
        <f>IF('記載様式（入院患者）'!BQ9&lt;='記載様式（入院患者）'!$CC$3,'記載様式（入院患者）'!BQ9,"")</f>
        <v>#VALUE!</v>
      </c>
      <c r="BF2" s="63" t="e">
        <f>IF('記載様式（入院患者）'!BR9&lt;='記載様式（入院患者）'!$CC$3,'記載様式（入院患者）'!BR9,"")</f>
        <v>#VALUE!</v>
      </c>
      <c r="BG2" s="63" t="e">
        <f>IF('記載様式（入院患者）'!BS9&lt;='記載様式（入院患者）'!$CC$3,'記載様式（入院患者）'!BS9,"")</f>
        <v>#VALUE!</v>
      </c>
      <c r="BH2" s="63" t="e">
        <f>IF('記載様式（入院患者）'!BT9&lt;='記載様式（入院患者）'!$CC$3,'記載様式（入院患者）'!BT9,"")</f>
        <v>#VALUE!</v>
      </c>
      <c r="BI2" s="63" t="e">
        <f>IF('記載様式（入院患者）'!BU9&lt;='記載様式（入院患者）'!$CC$3,'記載様式（入院患者）'!BU9,"")</f>
        <v>#VALUE!</v>
      </c>
      <c r="BJ2" s="64" t="e">
        <f>IF('記載様式（入院患者）'!BV9&lt;='記載様式（入院患者）'!$CC$3,'記載様式（入院患者）'!BV9,"")</f>
        <v>#VALUE!</v>
      </c>
      <c r="BK2" s="19"/>
    </row>
    <row r="3" spans="1:63" ht="20.100000000000001" customHeight="1" x14ac:dyDescent="0.15">
      <c r="A3" s="58" t="s">
        <v>69</v>
      </c>
      <c r="B3" s="45" t="s">
        <v>44</v>
      </c>
      <c r="C3" s="43" t="e">
        <f>IF(C2&lt;='記載様式（入院患者）'!$CC$3,COUNTIF('記載様式（入院患者）'!O:O,"○"),"")</f>
        <v>#VALUE!</v>
      </c>
      <c r="D3" s="59" t="e">
        <f>IF(D2&lt;='記載様式（入院患者）'!$CC$3,COUNTIF('記載様式（入院患者）'!P:P,"○"),"")</f>
        <v>#VALUE!</v>
      </c>
      <c r="E3" s="59" t="e">
        <f>IF(E2&lt;='記載様式（入院患者）'!$CC$3,COUNTIF('記載様式（入院患者）'!Q:Q,"○"),"")</f>
        <v>#VALUE!</v>
      </c>
      <c r="F3" s="59" t="e">
        <f>IF(F2&lt;='記載様式（入院患者）'!$CC$3,COUNTIF('記載様式（入院患者）'!R:R,"○"),"")</f>
        <v>#VALUE!</v>
      </c>
      <c r="G3" s="59" t="e">
        <f>IF(G2&lt;='記載様式（入院患者）'!$CC$3,COUNTIF('記載様式（入院患者）'!S:S,"○"),"")</f>
        <v>#VALUE!</v>
      </c>
      <c r="H3" s="59" t="e">
        <f>IF(H2&lt;='記載様式（入院患者）'!$CC$3,COUNTIF('記載様式（入院患者）'!T:T,"○"),"")</f>
        <v>#VALUE!</v>
      </c>
      <c r="I3" s="59" t="e">
        <f>IF(I2&lt;='記載様式（入院患者）'!$CC$3,COUNTIF('記載様式（入院患者）'!U:U,"○"),"")</f>
        <v>#VALUE!</v>
      </c>
      <c r="J3" s="59" t="e">
        <f>IF(J2&lt;='記載様式（入院患者）'!$CC$3,COUNTIF('記載様式（入院患者）'!V:V,"○"),"")</f>
        <v>#VALUE!</v>
      </c>
      <c r="K3" s="59" t="e">
        <f>IF(K2&lt;='記載様式（入院患者）'!$CC$3,COUNTIF('記載様式（入院患者）'!W:W,"○"),"")</f>
        <v>#VALUE!</v>
      </c>
      <c r="L3" s="59" t="e">
        <f>IF(L2&lt;='記載様式（入院患者）'!$CC$3,COUNTIF('記載様式（入院患者）'!X:X,"○"),"")</f>
        <v>#VALUE!</v>
      </c>
      <c r="M3" s="59" t="e">
        <f>IF(M2&lt;='記載様式（入院患者）'!$CC$3,COUNTIF('記載様式（入院患者）'!Y:Y,"○"),"")</f>
        <v>#VALUE!</v>
      </c>
      <c r="N3" s="59" t="e">
        <f>IF(N2&lt;='記載様式（入院患者）'!$CC$3,COUNTIF('記載様式（入院患者）'!Z:Z,"○"),"")</f>
        <v>#VALUE!</v>
      </c>
      <c r="O3" s="59" t="e">
        <f>IF(O2&lt;='記載様式（入院患者）'!$CC$3,COUNTIF('記載様式（入院患者）'!AA:AA,"○"),"")</f>
        <v>#VALUE!</v>
      </c>
      <c r="P3" s="59" t="e">
        <f>IF(P2&lt;='記載様式（入院患者）'!$CC$3,COUNTIF('記載様式（入院患者）'!AB:AB,"○"),"")</f>
        <v>#VALUE!</v>
      </c>
      <c r="Q3" s="59" t="e">
        <f>IF(Q2&lt;='記載様式（入院患者）'!$CC$3,COUNTIF('記載様式（入院患者）'!AC:AC,"○"),"")</f>
        <v>#VALUE!</v>
      </c>
      <c r="R3" s="59" t="e">
        <f>IF(R2&lt;='記載様式（入院患者）'!$CC$3,COUNTIF('記載様式（入院患者）'!AD:AD,"○"),"")</f>
        <v>#VALUE!</v>
      </c>
      <c r="S3" s="59" t="e">
        <f>IF(S2&lt;='記載様式（入院患者）'!$CC$3,COUNTIF('記載様式（入院患者）'!AE:AE,"○"),"")</f>
        <v>#VALUE!</v>
      </c>
      <c r="T3" s="59" t="e">
        <f>IF(T2&lt;='記載様式（入院患者）'!$CC$3,COUNTIF('記載様式（入院患者）'!AF:AF,"○"),"")</f>
        <v>#VALUE!</v>
      </c>
      <c r="U3" s="59" t="e">
        <f>IF(U2&lt;='記載様式（入院患者）'!$CC$3,COUNTIF('記載様式（入院患者）'!AG:AG,"○"),"")</f>
        <v>#VALUE!</v>
      </c>
      <c r="V3" s="59" t="e">
        <f>IF(V2&lt;='記載様式（入院患者）'!$CC$3,COUNTIF('記載様式（入院患者）'!AH:AH,"○"),"")</f>
        <v>#VALUE!</v>
      </c>
      <c r="W3" s="59" t="e">
        <f>IF(W2&lt;='記載様式（入院患者）'!$CC$3,COUNTIF('記載様式（入院患者）'!AI:AI,"○"),"")</f>
        <v>#VALUE!</v>
      </c>
      <c r="X3" s="59" t="e">
        <f>IF(X2&lt;='記載様式（入院患者）'!$CC$3,COUNTIF('記載様式（入院患者）'!AJ:AJ,"○"),"")</f>
        <v>#VALUE!</v>
      </c>
      <c r="Y3" s="59" t="e">
        <f>IF(Y2&lt;='記載様式（入院患者）'!$CC$3,COUNTIF('記載様式（入院患者）'!AK:AK,"○"),"")</f>
        <v>#VALUE!</v>
      </c>
      <c r="Z3" s="59" t="e">
        <f>IF(Z2&lt;='記載様式（入院患者）'!$CC$3,COUNTIF('記載様式（入院患者）'!AL:AL,"○"),"")</f>
        <v>#VALUE!</v>
      </c>
      <c r="AA3" s="59" t="e">
        <f>IF(AA2&lt;='記載様式（入院患者）'!$CC$3,COUNTIF('記載様式（入院患者）'!AM:AM,"○"),"")</f>
        <v>#VALUE!</v>
      </c>
      <c r="AB3" s="59" t="e">
        <f>IF(AB2&lt;='記載様式（入院患者）'!$CC$3,COUNTIF('記載様式（入院患者）'!AN:AN,"○"),"")</f>
        <v>#VALUE!</v>
      </c>
      <c r="AC3" s="59" t="e">
        <f>IF(AC2&lt;='記載様式（入院患者）'!$CC$3,COUNTIF('記載様式（入院患者）'!AO:AO,"○"),"")</f>
        <v>#VALUE!</v>
      </c>
      <c r="AD3" s="59" t="e">
        <f>IF(AD2&lt;='記載様式（入院患者）'!$CC$3,COUNTIF('記載様式（入院患者）'!AP:AP,"○"),"")</f>
        <v>#VALUE!</v>
      </c>
      <c r="AE3" s="59" t="e">
        <f>IF(AE2&lt;='記載様式（入院患者）'!$CC$3,COUNTIF('記載様式（入院患者）'!AQ:AQ,"○"),"")</f>
        <v>#VALUE!</v>
      </c>
      <c r="AF3" s="59" t="e">
        <f>IF(AF2&lt;='記載様式（入院患者）'!$CC$3,COUNTIF('記載様式（入院患者）'!AR:AR,"○"),"")</f>
        <v>#VALUE!</v>
      </c>
      <c r="AG3" s="59" t="e">
        <f>IF(AG2&lt;='記載様式（入院患者）'!$CC$3,COUNTIF('記載様式（入院患者）'!AS:AS,"○"),"")</f>
        <v>#VALUE!</v>
      </c>
      <c r="AH3" s="59" t="e">
        <f>IF(AH2&lt;='記載様式（入院患者）'!$CC$3,COUNTIF('記載様式（入院患者）'!AT:AT,"○"),"")</f>
        <v>#VALUE!</v>
      </c>
      <c r="AI3" s="59" t="e">
        <f>IF(AI2&lt;='記載様式（入院患者）'!$CC$3,COUNTIF('記載様式（入院患者）'!AU:AU,"○"),"")</f>
        <v>#VALUE!</v>
      </c>
      <c r="AJ3" s="59" t="e">
        <f>IF(AJ2&lt;='記載様式（入院患者）'!$CC$3,COUNTIF('記載様式（入院患者）'!AV:AV,"○"),"")</f>
        <v>#VALUE!</v>
      </c>
      <c r="AK3" s="59" t="e">
        <f>IF(AK2&lt;='記載様式（入院患者）'!$CC$3,COUNTIF('記載様式（入院患者）'!AW:AW,"○"),"")</f>
        <v>#VALUE!</v>
      </c>
      <c r="AL3" s="59" t="e">
        <f>IF(AL2&lt;='記載様式（入院患者）'!$CC$3,COUNTIF('記載様式（入院患者）'!AX:AX,"○"),"")</f>
        <v>#VALUE!</v>
      </c>
      <c r="AM3" s="59" t="e">
        <f>IF(AM2&lt;='記載様式（入院患者）'!$CC$3,COUNTIF('記載様式（入院患者）'!AY:AY,"○"),"")</f>
        <v>#VALUE!</v>
      </c>
      <c r="AN3" s="59" t="e">
        <f>IF(AN2&lt;='記載様式（入院患者）'!$CC$3,COUNTIF('記載様式（入院患者）'!AZ:AZ,"○"),"")</f>
        <v>#VALUE!</v>
      </c>
      <c r="AO3" s="59" t="e">
        <f>IF(AO2&lt;='記載様式（入院患者）'!$CC$3,COUNTIF('記載様式（入院患者）'!BA:BA,"○"),"")</f>
        <v>#VALUE!</v>
      </c>
      <c r="AP3" s="59" t="e">
        <f>IF(AP2&lt;='記載様式（入院患者）'!$CC$3,COUNTIF('記載様式（入院患者）'!BB:BB,"○"),"")</f>
        <v>#VALUE!</v>
      </c>
      <c r="AQ3" s="59" t="e">
        <f>IF(AQ2&lt;='記載様式（入院患者）'!$CC$3,COUNTIF('記載様式（入院患者）'!BC:BC,"○"),"")</f>
        <v>#VALUE!</v>
      </c>
      <c r="AR3" s="59" t="e">
        <f>IF(AR2&lt;='記載様式（入院患者）'!$CC$3,COUNTIF('記載様式（入院患者）'!BD:BD,"○"),"")</f>
        <v>#VALUE!</v>
      </c>
      <c r="AS3" s="59" t="e">
        <f>IF(AS2&lt;='記載様式（入院患者）'!$CC$3,COUNTIF('記載様式（入院患者）'!BE:BE,"○"),"")</f>
        <v>#VALUE!</v>
      </c>
      <c r="AT3" s="59" t="e">
        <f>IF(AT2&lt;='記載様式（入院患者）'!$CC$3,COUNTIF('記載様式（入院患者）'!BF:BF,"○"),"")</f>
        <v>#VALUE!</v>
      </c>
      <c r="AU3" s="59" t="e">
        <f>IF(AU2&lt;='記載様式（入院患者）'!$CC$3,COUNTIF('記載様式（入院患者）'!BG:BG,"○"),"")</f>
        <v>#VALUE!</v>
      </c>
      <c r="AV3" s="59" t="e">
        <f>IF(AV2&lt;='記載様式（入院患者）'!$CC$3,COUNTIF('記載様式（入院患者）'!BH:BH,"○"),"")</f>
        <v>#VALUE!</v>
      </c>
      <c r="AW3" s="59" t="e">
        <f>IF(AW2&lt;='記載様式（入院患者）'!$CC$3,COUNTIF('記載様式（入院患者）'!BI:BI,"○"),"")</f>
        <v>#VALUE!</v>
      </c>
      <c r="AX3" s="59" t="e">
        <f>IF(AX2&lt;='記載様式（入院患者）'!$CC$3,COUNTIF('記載様式（入院患者）'!BJ:BJ,"○"),"")</f>
        <v>#VALUE!</v>
      </c>
      <c r="AY3" s="59" t="e">
        <f>IF(AY2&lt;='記載様式（入院患者）'!$CC$3,COUNTIF('記載様式（入院患者）'!BK:BK,"○"),"")</f>
        <v>#VALUE!</v>
      </c>
      <c r="AZ3" s="59" t="e">
        <f>IF(AZ2&lt;='記載様式（入院患者）'!$CC$3,COUNTIF('記載様式（入院患者）'!BL:BL,"○"),"")</f>
        <v>#VALUE!</v>
      </c>
      <c r="BA3" s="59" t="e">
        <f>IF(BA2&lt;='記載様式（入院患者）'!$CC$3,COUNTIF('記載様式（入院患者）'!BM:BM,"○"),"")</f>
        <v>#VALUE!</v>
      </c>
      <c r="BB3" s="59" t="e">
        <f>IF(BB2&lt;='記載様式（入院患者）'!$CC$3,COUNTIF('記載様式（入院患者）'!BN:BN,"○"),"")</f>
        <v>#VALUE!</v>
      </c>
      <c r="BC3" s="59" t="e">
        <f>IF(BC2&lt;='記載様式（入院患者）'!$CC$3,COUNTIF('記載様式（入院患者）'!BO:BO,"○"),"")</f>
        <v>#VALUE!</v>
      </c>
      <c r="BD3" s="59" t="e">
        <f>IF(BD2&lt;='記載様式（入院患者）'!$CC$3,COUNTIF('記載様式（入院患者）'!BP:BP,"○"),"")</f>
        <v>#VALUE!</v>
      </c>
      <c r="BE3" s="59" t="e">
        <f>IF(BE2&lt;='記載様式（入院患者）'!$CC$3,COUNTIF('記載様式（入院患者）'!BQ:BQ,"○"),"")</f>
        <v>#VALUE!</v>
      </c>
      <c r="BF3" s="59" t="e">
        <f>IF(BF2&lt;='記載様式（入院患者）'!$CC$3,COUNTIF('記載様式（入院患者）'!BR:BR,"○"),"")</f>
        <v>#VALUE!</v>
      </c>
      <c r="BG3" s="59" t="e">
        <f>IF(BG2&lt;='記載様式（入院患者）'!$CC$3,COUNTIF('記載様式（入院患者）'!BS:BS,"○"),"")</f>
        <v>#VALUE!</v>
      </c>
      <c r="BH3" s="59" t="e">
        <f>IF(BH2&lt;='記載様式（入院患者）'!$CC$3,COUNTIF('記載様式（入院患者）'!BT:BT,"○"),"")</f>
        <v>#VALUE!</v>
      </c>
      <c r="BI3" s="59" t="e">
        <f>IF(BI2&lt;='記載様式（入院患者）'!$CC$3,COUNTIF('記載様式（入院患者）'!BU:BU,"○"),"")</f>
        <v>#VALUE!</v>
      </c>
      <c r="BJ3" s="42" t="e">
        <f>IF(BJ2&lt;='記載様式（入院患者）'!$CC$3,COUNTIF('記載様式（入院患者）'!BV:BV,"○"),"")</f>
        <v>#VALUE!</v>
      </c>
      <c r="BK3" s="19"/>
    </row>
    <row r="4" spans="1:63" ht="20.100000000000001" customHeight="1" x14ac:dyDescent="0.15">
      <c r="A4" s="56" t="s">
        <v>65</v>
      </c>
      <c r="B4" s="56" t="s">
        <v>44</v>
      </c>
      <c r="C4" s="70" t="e">
        <f>IF(C2&lt;='記載様式（入院患者）'!$CC$3,COUNTIF('記載様式（職員）'!O:O,"○"),"")</f>
        <v>#VALUE!</v>
      </c>
      <c r="D4" s="44" t="e">
        <f>IF(D2&lt;='記載様式（入院患者）'!$CC$3,COUNTIF('記載様式（職員）'!P:P,"○"),"")</f>
        <v>#VALUE!</v>
      </c>
      <c r="E4" s="44" t="e">
        <f>IF(E2&lt;='記載様式（入院患者）'!$CC$3,COUNTIF('記載様式（職員）'!Q:Q,"○"),"")</f>
        <v>#VALUE!</v>
      </c>
      <c r="F4" s="44" t="e">
        <f>IF(F2&lt;='記載様式（入院患者）'!$CC$3,COUNTIF('記載様式（職員）'!R:R,"○"),"")</f>
        <v>#VALUE!</v>
      </c>
      <c r="G4" s="44" t="e">
        <f>IF(G2&lt;='記載様式（入院患者）'!$CC$3,COUNTIF('記載様式（職員）'!S:S,"○"),"")</f>
        <v>#VALUE!</v>
      </c>
      <c r="H4" s="44" t="e">
        <f>IF(H2&lt;='記載様式（入院患者）'!$CC$3,COUNTIF('記載様式（職員）'!T:T,"○"),"")</f>
        <v>#VALUE!</v>
      </c>
      <c r="I4" s="44" t="e">
        <f>IF(I2&lt;='記載様式（入院患者）'!$CC$3,COUNTIF('記載様式（職員）'!U:U,"○"),"")</f>
        <v>#VALUE!</v>
      </c>
      <c r="J4" s="44" t="e">
        <f>IF(J2&lt;='記載様式（入院患者）'!$CC$3,COUNTIF('記載様式（職員）'!V:V,"○"),"")</f>
        <v>#VALUE!</v>
      </c>
      <c r="K4" s="44" t="e">
        <f>IF(K2&lt;='記載様式（入院患者）'!$CC$3,COUNTIF('記載様式（職員）'!W:W,"○"),"")</f>
        <v>#VALUE!</v>
      </c>
      <c r="L4" s="44" t="e">
        <f>IF(L2&lt;='記載様式（入院患者）'!$CC$3,COUNTIF('記載様式（職員）'!X:X,"○"),"")</f>
        <v>#VALUE!</v>
      </c>
      <c r="M4" s="44" t="e">
        <f>IF(M2&lt;='記載様式（入院患者）'!$CC$3,COUNTIF('記載様式（職員）'!Y:Y,"○"),"")</f>
        <v>#VALUE!</v>
      </c>
      <c r="N4" s="44" t="e">
        <f>IF(N2&lt;='記載様式（入院患者）'!$CC$3,COUNTIF('記載様式（職員）'!Z:Z,"○"),"")</f>
        <v>#VALUE!</v>
      </c>
      <c r="O4" s="44" t="e">
        <f>IF(O2&lt;='記載様式（入院患者）'!$CC$3,COUNTIF('記載様式（職員）'!AA:AA,"○"),"")</f>
        <v>#VALUE!</v>
      </c>
      <c r="P4" s="44" t="e">
        <f>IF(P2&lt;='記載様式（入院患者）'!$CC$3,COUNTIF('記載様式（職員）'!AB:AB,"○"),"")</f>
        <v>#VALUE!</v>
      </c>
      <c r="Q4" s="44" t="e">
        <f>IF(Q2&lt;='記載様式（入院患者）'!$CC$3,COUNTIF('記載様式（職員）'!AC:AC,"○"),"")</f>
        <v>#VALUE!</v>
      </c>
      <c r="R4" s="44" t="e">
        <f>IF(R2&lt;='記載様式（入院患者）'!$CC$3,COUNTIF('記載様式（職員）'!AD:AD,"○"),"")</f>
        <v>#VALUE!</v>
      </c>
      <c r="S4" s="44" t="e">
        <f>IF(S2&lt;='記載様式（入院患者）'!$CC$3,COUNTIF('記載様式（職員）'!AE:AE,"○"),"")</f>
        <v>#VALUE!</v>
      </c>
      <c r="T4" s="44" t="e">
        <f>IF(T2&lt;='記載様式（入院患者）'!$CC$3,COUNTIF('記載様式（職員）'!AF:AF,"○"),"")</f>
        <v>#VALUE!</v>
      </c>
      <c r="U4" s="44" t="e">
        <f>IF(U2&lt;='記載様式（入院患者）'!$CC$3,COUNTIF('記載様式（職員）'!AG:AG,"○"),"")</f>
        <v>#VALUE!</v>
      </c>
      <c r="V4" s="44" t="e">
        <f>IF(V2&lt;='記載様式（入院患者）'!$CC$3,COUNTIF('記載様式（職員）'!AH:AH,"○"),"")</f>
        <v>#VALUE!</v>
      </c>
      <c r="W4" s="44" t="e">
        <f>IF(W2&lt;='記載様式（入院患者）'!$CC$3,COUNTIF('記載様式（職員）'!AI:AI,"○"),"")</f>
        <v>#VALUE!</v>
      </c>
      <c r="X4" s="44" t="e">
        <f>IF(X2&lt;='記載様式（入院患者）'!$CC$3,COUNTIF('記載様式（職員）'!AJ:AJ,"○"),"")</f>
        <v>#VALUE!</v>
      </c>
      <c r="Y4" s="44" t="e">
        <f>IF(Y2&lt;='記載様式（入院患者）'!$CC$3,COUNTIF('記載様式（職員）'!AK:AK,"○"),"")</f>
        <v>#VALUE!</v>
      </c>
      <c r="Z4" s="44" t="e">
        <f>IF(Z2&lt;='記載様式（入院患者）'!$CC$3,COUNTIF('記載様式（職員）'!AL:AL,"○"),"")</f>
        <v>#VALUE!</v>
      </c>
      <c r="AA4" s="44" t="e">
        <f>IF(AA2&lt;='記載様式（入院患者）'!$CC$3,COUNTIF('記載様式（職員）'!AM:AM,"○"),"")</f>
        <v>#VALUE!</v>
      </c>
      <c r="AB4" s="44" t="e">
        <f>IF(AB2&lt;='記載様式（入院患者）'!$CC$3,COUNTIF('記載様式（職員）'!AN:AN,"○"),"")</f>
        <v>#VALUE!</v>
      </c>
      <c r="AC4" s="44" t="e">
        <f>IF(AC2&lt;='記載様式（入院患者）'!$CC$3,COUNTIF('記載様式（職員）'!AO:AO,"○"),"")</f>
        <v>#VALUE!</v>
      </c>
      <c r="AD4" s="44" t="e">
        <f>IF(AD2&lt;='記載様式（入院患者）'!$CC$3,COUNTIF('記載様式（職員）'!AP:AP,"○"),"")</f>
        <v>#VALUE!</v>
      </c>
      <c r="AE4" s="44" t="e">
        <f>IF(AE2&lt;='記載様式（入院患者）'!$CC$3,COUNTIF('記載様式（職員）'!AQ:AQ,"○"),"")</f>
        <v>#VALUE!</v>
      </c>
      <c r="AF4" s="44" t="e">
        <f>IF(AF2&lt;='記載様式（入院患者）'!$CC$3,COUNTIF('記載様式（職員）'!AR:AR,"○"),"")</f>
        <v>#VALUE!</v>
      </c>
      <c r="AG4" s="44" t="e">
        <f>IF(AG2&lt;='記載様式（入院患者）'!$CC$3,COUNTIF('記載様式（職員）'!AS:AS,"○"),"")</f>
        <v>#VALUE!</v>
      </c>
      <c r="AH4" s="44" t="e">
        <f>IF(AH2&lt;='記載様式（入院患者）'!$CC$3,COUNTIF('記載様式（職員）'!AT:AT,"○"),"")</f>
        <v>#VALUE!</v>
      </c>
      <c r="AI4" s="44" t="e">
        <f>IF(AI2&lt;='記載様式（入院患者）'!$CC$3,COUNTIF('記載様式（職員）'!AU:AU,"○"),"")</f>
        <v>#VALUE!</v>
      </c>
      <c r="AJ4" s="44" t="e">
        <f>IF(AJ2&lt;='記載様式（入院患者）'!$CC$3,COUNTIF('記載様式（職員）'!AV:AV,"○"),"")</f>
        <v>#VALUE!</v>
      </c>
      <c r="AK4" s="44" t="e">
        <f>IF(AK2&lt;='記載様式（入院患者）'!$CC$3,COUNTIF('記載様式（職員）'!AW:AW,"○"),"")</f>
        <v>#VALUE!</v>
      </c>
      <c r="AL4" s="44" t="e">
        <f>IF(AL2&lt;='記載様式（入院患者）'!$CC$3,COUNTIF('記載様式（職員）'!AX:AX,"○"),"")</f>
        <v>#VALUE!</v>
      </c>
      <c r="AM4" s="44" t="e">
        <f>IF(AM2&lt;='記載様式（入院患者）'!$CC$3,COUNTIF('記載様式（職員）'!AY:AY,"○"),"")</f>
        <v>#VALUE!</v>
      </c>
      <c r="AN4" s="44" t="e">
        <f>IF(AN2&lt;='記載様式（入院患者）'!$CC$3,COUNTIF('記載様式（職員）'!AZ:AZ,"○"),"")</f>
        <v>#VALUE!</v>
      </c>
      <c r="AO4" s="44" t="e">
        <f>IF(AO2&lt;='記載様式（入院患者）'!$CC$3,COUNTIF('記載様式（職員）'!BA:BA,"○"),"")</f>
        <v>#VALUE!</v>
      </c>
      <c r="AP4" s="44" t="e">
        <f>IF(AP2&lt;='記載様式（入院患者）'!$CC$3,COUNTIF('記載様式（職員）'!BB:BB,"○"),"")</f>
        <v>#VALUE!</v>
      </c>
      <c r="AQ4" s="44" t="e">
        <f>IF(AQ2&lt;='記載様式（入院患者）'!$CC$3,COUNTIF('記載様式（職員）'!BC:BC,"○"),"")</f>
        <v>#VALUE!</v>
      </c>
      <c r="AR4" s="44" t="e">
        <f>IF(AR2&lt;='記載様式（入院患者）'!$CC$3,COUNTIF('記載様式（職員）'!BD:BD,"○"),"")</f>
        <v>#VALUE!</v>
      </c>
      <c r="AS4" s="44" t="e">
        <f>IF(AS2&lt;='記載様式（入院患者）'!$CC$3,COUNTIF('記載様式（職員）'!BE:BE,"○"),"")</f>
        <v>#VALUE!</v>
      </c>
      <c r="AT4" s="44" t="e">
        <f>IF(AT2&lt;='記載様式（入院患者）'!$CC$3,COUNTIF('記載様式（職員）'!BF:BF,"○"),"")</f>
        <v>#VALUE!</v>
      </c>
      <c r="AU4" s="44" t="e">
        <f>IF(AU2&lt;='記載様式（入院患者）'!$CC$3,COUNTIF('記載様式（職員）'!BG:BG,"○"),"")</f>
        <v>#VALUE!</v>
      </c>
      <c r="AV4" s="44" t="e">
        <f>IF(AV2&lt;='記載様式（入院患者）'!$CC$3,COUNTIF('記載様式（職員）'!BH:BH,"○"),"")</f>
        <v>#VALUE!</v>
      </c>
      <c r="AW4" s="44" t="e">
        <f>IF(AW2&lt;='記載様式（入院患者）'!$CC$3,COUNTIF('記載様式（職員）'!BI:BI,"○"),"")</f>
        <v>#VALUE!</v>
      </c>
      <c r="AX4" s="44" t="e">
        <f>IF(AX2&lt;='記載様式（入院患者）'!$CC$3,COUNTIF('記載様式（職員）'!BJ:BJ,"○"),"")</f>
        <v>#VALUE!</v>
      </c>
      <c r="AY4" s="44" t="e">
        <f>IF(AY2&lt;='記載様式（入院患者）'!$CC$3,COUNTIF('記載様式（職員）'!BK:BK,"○"),"")</f>
        <v>#VALUE!</v>
      </c>
      <c r="AZ4" s="44" t="e">
        <f>IF(AZ2&lt;='記載様式（入院患者）'!$CC$3,COUNTIF('記載様式（職員）'!BL:BL,"○"),"")</f>
        <v>#VALUE!</v>
      </c>
      <c r="BA4" s="44" t="e">
        <f>IF(BA2&lt;='記載様式（入院患者）'!$CC$3,COUNTIF('記載様式（職員）'!BM:BM,"○"),"")</f>
        <v>#VALUE!</v>
      </c>
      <c r="BB4" s="44" t="e">
        <f>IF(BB2&lt;='記載様式（入院患者）'!$CC$3,COUNTIF('記載様式（職員）'!BN:BN,"○"),"")</f>
        <v>#VALUE!</v>
      </c>
      <c r="BC4" s="44" t="e">
        <f>IF(BC2&lt;='記載様式（入院患者）'!$CC$3,COUNTIF('記載様式（職員）'!BO:BO,"○"),"")</f>
        <v>#VALUE!</v>
      </c>
      <c r="BD4" s="44" t="e">
        <f>IF(BD2&lt;='記載様式（入院患者）'!$CC$3,COUNTIF('記載様式（職員）'!BP:BP,"○"),"")</f>
        <v>#VALUE!</v>
      </c>
      <c r="BE4" s="44" t="e">
        <f>IF(BE2&lt;='記載様式（入院患者）'!$CC$3,COUNTIF('記載様式（職員）'!BQ:BQ,"○"),"")</f>
        <v>#VALUE!</v>
      </c>
      <c r="BF4" s="44" t="e">
        <f>IF(BF2&lt;='記載様式（入院患者）'!$CC$3,COUNTIF('記載様式（職員）'!BR:BR,"○"),"")</f>
        <v>#VALUE!</v>
      </c>
      <c r="BG4" s="44" t="e">
        <f>IF(BG2&lt;='記載様式（入院患者）'!$CC$3,COUNTIF('記載様式（職員）'!BS:BS,"○"),"")</f>
        <v>#VALUE!</v>
      </c>
      <c r="BH4" s="44" t="e">
        <f>IF(BH2&lt;='記載様式（入院患者）'!$CC$3,COUNTIF('記載様式（職員）'!BT:BT,"○"),"")</f>
        <v>#VALUE!</v>
      </c>
      <c r="BI4" s="44" t="e">
        <f>IF(BI2&lt;='記載様式（入院患者）'!$CC$3,COUNTIF('記載様式（職員）'!BU:BU,"○"),"")</f>
        <v>#VALUE!</v>
      </c>
      <c r="BJ4" s="71" t="e">
        <f>IF(BJ2&lt;='記載様式（入院患者）'!$CC$3,COUNTIF('記載様式（職員）'!BV:BV,"○"),"")</f>
        <v>#VALUE!</v>
      </c>
      <c r="BK4" s="19"/>
    </row>
    <row r="5" spans="1:63" ht="20.100000000000001" customHeight="1" thickBot="1" x14ac:dyDescent="0.2">
      <c r="A5" s="57" t="s">
        <v>66</v>
      </c>
      <c r="B5" s="65" t="e">
        <f>SUM(C5:BJ5)</f>
        <v>#VALUE!</v>
      </c>
      <c r="C5" s="66" t="e">
        <f>IF(C2&lt;='記載様式（入院患者）'!$CC$3,C15+C16,"")</f>
        <v>#VALUE!</v>
      </c>
      <c r="D5" s="67" t="e">
        <f>IF(D2&lt;='記載様式（入院患者）'!$CC$3,D15+D16,"")</f>
        <v>#VALUE!</v>
      </c>
      <c r="E5" s="67" t="e">
        <f>IF(E2&lt;='記載様式（入院患者）'!$CC$3,E15+E16,"")</f>
        <v>#VALUE!</v>
      </c>
      <c r="F5" s="67" t="e">
        <f>IF(F2&lt;='記載様式（入院患者）'!$CC$3,F15+F16,"")</f>
        <v>#VALUE!</v>
      </c>
      <c r="G5" s="67" t="e">
        <f>IF(G2&lt;='記載様式（入院患者）'!$CC$3,G15+G16,"")</f>
        <v>#VALUE!</v>
      </c>
      <c r="H5" s="67" t="e">
        <f>IF(H2&lt;='記載様式（入院患者）'!$CC$3,H15+H16,"")</f>
        <v>#VALUE!</v>
      </c>
      <c r="I5" s="67" t="e">
        <f>IF(I2&lt;='記載様式（入院患者）'!$CC$3,I15+I16,"")</f>
        <v>#VALUE!</v>
      </c>
      <c r="J5" s="67" t="e">
        <f>IF(J2&lt;='記載様式（入院患者）'!$CC$3,J15+J16,"")</f>
        <v>#VALUE!</v>
      </c>
      <c r="K5" s="67" t="e">
        <f>IF(K2&lt;='記載様式（入院患者）'!$CC$3,K15+K16,"")</f>
        <v>#VALUE!</v>
      </c>
      <c r="L5" s="67" t="e">
        <f>IF(L2&lt;='記載様式（入院患者）'!$CC$3,L15+L16,"")</f>
        <v>#VALUE!</v>
      </c>
      <c r="M5" s="67" t="e">
        <f>IF(M2&lt;='記載様式（入院患者）'!$CC$3,M15+M16,"")</f>
        <v>#VALUE!</v>
      </c>
      <c r="N5" s="67" t="e">
        <f>IF(N2&lt;='記載様式（入院患者）'!$CC$3,N15+N16,"")</f>
        <v>#VALUE!</v>
      </c>
      <c r="O5" s="67" t="e">
        <f>IF(O2&lt;='記載様式（入院患者）'!$CC$3,O15+O16,"")</f>
        <v>#VALUE!</v>
      </c>
      <c r="P5" s="67" t="e">
        <f>IF(P2&lt;='記載様式（入院患者）'!$CC$3,P15+P16,"")</f>
        <v>#VALUE!</v>
      </c>
      <c r="Q5" s="67" t="e">
        <f>IF(Q2&lt;='記載様式（入院患者）'!$CC$3,Q15+Q16,"")</f>
        <v>#VALUE!</v>
      </c>
      <c r="R5" s="67" t="e">
        <f>IF(R2&lt;='記載様式（入院患者）'!$CC$3,R15+R16,"")</f>
        <v>#VALUE!</v>
      </c>
      <c r="S5" s="67" t="e">
        <f>IF(S2&lt;='記載様式（入院患者）'!$CC$3,S15+S16,"")</f>
        <v>#VALUE!</v>
      </c>
      <c r="T5" s="67" t="e">
        <f>IF(T2&lt;='記載様式（入院患者）'!$CC$3,T15+T16,"")</f>
        <v>#VALUE!</v>
      </c>
      <c r="U5" s="67" t="e">
        <f>IF(U2&lt;='記載様式（入院患者）'!$CC$3,U15+U16,"")</f>
        <v>#VALUE!</v>
      </c>
      <c r="V5" s="67" t="e">
        <f>IF(V2&lt;='記載様式（入院患者）'!$CC$3,V15+V16,"")</f>
        <v>#VALUE!</v>
      </c>
      <c r="W5" s="67" t="e">
        <f>IF(W2&lt;='記載様式（入院患者）'!$CC$3,W15+W16,"")</f>
        <v>#VALUE!</v>
      </c>
      <c r="X5" s="67" t="e">
        <f>IF(X2&lt;='記載様式（入院患者）'!$CC$3,X15+X16,"")</f>
        <v>#VALUE!</v>
      </c>
      <c r="Y5" s="67" t="e">
        <f>IF(Y2&lt;='記載様式（入院患者）'!$CC$3,Y15+Y16,"")</f>
        <v>#VALUE!</v>
      </c>
      <c r="Z5" s="67" t="e">
        <f>IF(Z2&lt;='記載様式（入院患者）'!$CC$3,Z15+Z16,"")</f>
        <v>#VALUE!</v>
      </c>
      <c r="AA5" s="67" t="e">
        <f>IF(AA2&lt;='記載様式（入院患者）'!$CC$3,AA15+AA16,"")</f>
        <v>#VALUE!</v>
      </c>
      <c r="AB5" s="67" t="e">
        <f>IF(AB2&lt;='記載様式（入院患者）'!$CC$3,AB15+AB16,"")</f>
        <v>#VALUE!</v>
      </c>
      <c r="AC5" s="67" t="e">
        <f>IF(AC2&lt;='記載様式（入院患者）'!$CC$3,AC15+AC16,"")</f>
        <v>#VALUE!</v>
      </c>
      <c r="AD5" s="67" t="e">
        <f>IF(AD2&lt;='記載様式（入院患者）'!$CC$3,AD15+AD16,"")</f>
        <v>#VALUE!</v>
      </c>
      <c r="AE5" s="67" t="e">
        <f>IF(AE2&lt;='記載様式（入院患者）'!$CC$3,AE15+AE16,"")</f>
        <v>#VALUE!</v>
      </c>
      <c r="AF5" s="68" t="e">
        <f>IF(AF2&lt;='記載様式（入院患者）'!$CC$3,AF15+AF16,"")</f>
        <v>#VALUE!</v>
      </c>
      <c r="AG5" s="67" t="e">
        <f>IF(AG2&lt;='記載様式（入院患者）'!$CC$3,AG15+AG16,"")</f>
        <v>#VALUE!</v>
      </c>
      <c r="AH5" s="67" t="e">
        <f>IF(AH2&lt;='記載様式（入院患者）'!$CC$3,AH15+AH16,"")</f>
        <v>#VALUE!</v>
      </c>
      <c r="AI5" s="67" t="e">
        <f>IF(AI2&lt;='記載様式（入院患者）'!$CC$3,AI15+AI16,"")</f>
        <v>#VALUE!</v>
      </c>
      <c r="AJ5" s="67" t="e">
        <f>IF(AJ2&lt;='記載様式（入院患者）'!$CC$3,AJ15+AJ16,"")</f>
        <v>#VALUE!</v>
      </c>
      <c r="AK5" s="67" t="e">
        <f>IF(AK2&lt;='記載様式（入院患者）'!$CC$3,AK15+AK16,"")</f>
        <v>#VALUE!</v>
      </c>
      <c r="AL5" s="67" t="e">
        <f>IF(AL2&lt;='記載様式（入院患者）'!$CC$3,AL15+AL16,"")</f>
        <v>#VALUE!</v>
      </c>
      <c r="AM5" s="67" t="e">
        <f>IF(AM2&lt;='記載様式（入院患者）'!$CC$3,AM15+AM16,"")</f>
        <v>#VALUE!</v>
      </c>
      <c r="AN5" s="67" t="e">
        <f>IF(AN2&lt;='記載様式（入院患者）'!$CC$3,AN15+AN16,"")</f>
        <v>#VALUE!</v>
      </c>
      <c r="AO5" s="67" t="e">
        <f>IF(AO2&lt;='記載様式（入院患者）'!$CC$3,AO15+AO16,"")</f>
        <v>#VALUE!</v>
      </c>
      <c r="AP5" s="67" t="e">
        <f>IF(AP2&lt;='記載様式（入院患者）'!$CC$3,AP15+AP16,"")</f>
        <v>#VALUE!</v>
      </c>
      <c r="AQ5" s="67" t="e">
        <f>IF(AQ2&lt;='記載様式（入院患者）'!$CC$3,AQ15+AQ16,"")</f>
        <v>#VALUE!</v>
      </c>
      <c r="AR5" s="67" t="e">
        <f>IF(AR2&lt;='記載様式（入院患者）'!$CC$3,AR15+AR16,"")</f>
        <v>#VALUE!</v>
      </c>
      <c r="AS5" s="67" t="e">
        <f>IF(AS2&lt;='記載様式（入院患者）'!$CC$3,AS15+AS16,"")</f>
        <v>#VALUE!</v>
      </c>
      <c r="AT5" s="67" t="e">
        <f>IF(AT2&lt;='記載様式（入院患者）'!$CC$3,AT15+AT16,"")</f>
        <v>#VALUE!</v>
      </c>
      <c r="AU5" s="67" t="e">
        <f>IF(AU2&lt;='記載様式（入院患者）'!$CC$3,AU15+AU16,"")</f>
        <v>#VALUE!</v>
      </c>
      <c r="AV5" s="67" t="e">
        <f>IF(AV2&lt;='記載様式（入院患者）'!$CC$3,AV15+AV16,"")</f>
        <v>#VALUE!</v>
      </c>
      <c r="AW5" s="67" t="e">
        <f>IF(AW2&lt;='記載様式（入院患者）'!$CC$3,AW15+AW16,"")</f>
        <v>#VALUE!</v>
      </c>
      <c r="AX5" s="67" t="e">
        <f>IF(AX2&lt;='記載様式（入院患者）'!$CC$3,AX15+AX16,"")</f>
        <v>#VALUE!</v>
      </c>
      <c r="AY5" s="67" t="e">
        <f>IF(AY2&lt;='記載様式（入院患者）'!$CC$3,AY15+AY16,"")</f>
        <v>#VALUE!</v>
      </c>
      <c r="AZ5" s="67" t="e">
        <f>IF(AZ2&lt;='記載様式（入院患者）'!$CC$3,AZ15+AZ16,"")</f>
        <v>#VALUE!</v>
      </c>
      <c r="BA5" s="67" t="e">
        <f>IF(BA2&lt;='記載様式（入院患者）'!$CC$3,BA15+BA16,"")</f>
        <v>#VALUE!</v>
      </c>
      <c r="BB5" s="67" t="e">
        <f>IF(BB2&lt;='記載様式（入院患者）'!$CC$3,BB15+BB16,"")</f>
        <v>#VALUE!</v>
      </c>
      <c r="BC5" s="67" t="e">
        <f>IF(BC2&lt;='記載様式（入院患者）'!$CC$3,BC15+BC16,"")</f>
        <v>#VALUE!</v>
      </c>
      <c r="BD5" s="67" t="e">
        <f>IF(BD2&lt;='記載様式（入院患者）'!$CC$3,BD15+BD16,"")</f>
        <v>#VALUE!</v>
      </c>
      <c r="BE5" s="67" t="e">
        <f>IF(BE2&lt;='記載様式（入院患者）'!$CC$3,BE15+BE16,"")</f>
        <v>#VALUE!</v>
      </c>
      <c r="BF5" s="67" t="e">
        <f>IF(BF2&lt;='記載様式（入院患者）'!$CC$3,BF15+BF16,"")</f>
        <v>#VALUE!</v>
      </c>
      <c r="BG5" s="67" t="e">
        <f>IF(BG2&lt;='記載様式（入院患者）'!$CC$3,BG15+BG16,"")</f>
        <v>#VALUE!</v>
      </c>
      <c r="BH5" s="67" t="e">
        <f>IF(BH2&lt;='記載様式（入院患者）'!$CC$3,BH15+BH16,"")</f>
        <v>#VALUE!</v>
      </c>
      <c r="BI5" s="67" t="e">
        <f>IF(BI2&lt;='記載様式（入院患者）'!$CC$3,BI15+BI16,"")</f>
        <v>#VALUE!</v>
      </c>
      <c r="BJ5" s="69" t="e">
        <f>IF(BJ2&lt;='記載様式（入院患者）'!$CC$3,#REF!+#REF!,"")</f>
        <v>#VALUE!</v>
      </c>
      <c r="BK5" s="19"/>
    </row>
    <row r="6" spans="1:63" ht="20.100000000000001" customHeight="1" x14ac:dyDescent="0.15">
      <c r="B6" s="47"/>
      <c r="C6" s="47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19"/>
    </row>
    <row r="7" spans="1:63" ht="20.100000000000001" customHeight="1" thickBot="1" x14ac:dyDescent="0.2">
      <c r="A7" t="s">
        <v>68</v>
      </c>
      <c r="BK7" s="19"/>
    </row>
    <row r="8" spans="1:63" ht="20.100000000000001" customHeight="1" thickBot="1" x14ac:dyDescent="0.2">
      <c r="A8" s="60"/>
      <c r="B8" s="81" t="s">
        <v>24</v>
      </c>
      <c r="C8" s="62" t="e">
        <f>IF('記載様式（入院患者）'!O9&lt;='記載様式（入院患者）'!$CC$3,'記載様式（入院患者）'!O9,"")</f>
        <v>#VALUE!</v>
      </c>
      <c r="D8" s="63" t="e">
        <f>IF('記載様式（入院患者）'!P9&lt;='記載様式（入院患者）'!$CC$3,'記載様式（入院患者）'!P9,"")</f>
        <v>#VALUE!</v>
      </c>
      <c r="E8" s="63" t="e">
        <f>IF('記載様式（入院患者）'!Q9&lt;='記載様式（入院患者）'!$CC$3,'記載様式（入院患者）'!Q9,"")</f>
        <v>#VALUE!</v>
      </c>
      <c r="F8" s="63" t="e">
        <f>IF('記載様式（入院患者）'!R9&lt;='記載様式（入院患者）'!$CC$3,'記載様式（入院患者）'!R9,"")</f>
        <v>#VALUE!</v>
      </c>
      <c r="G8" s="63" t="e">
        <f>IF('記載様式（入院患者）'!S9&lt;='記載様式（入院患者）'!$CC$3,'記載様式（入院患者）'!S9,"")</f>
        <v>#VALUE!</v>
      </c>
      <c r="H8" s="63" t="e">
        <f>IF('記載様式（入院患者）'!T9&lt;='記載様式（入院患者）'!$CC$3,'記載様式（入院患者）'!T9,"")</f>
        <v>#VALUE!</v>
      </c>
      <c r="I8" s="63" t="e">
        <f>IF('記載様式（入院患者）'!U9&lt;='記載様式（入院患者）'!$CC$3,'記載様式（入院患者）'!U9,"")</f>
        <v>#VALUE!</v>
      </c>
      <c r="J8" s="63" t="e">
        <f>IF('記載様式（入院患者）'!V9&lt;='記載様式（入院患者）'!$CC$3,'記載様式（入院患者）'!V9,"")</f>
        <v>#VALUE!</v>
      </c>
      <c r="K8" s="63" t="e">
        <f>IF('記載様式（入院患者）'!W9&lt;='記載様式（入院患者）'!$CC$3,'記載様式（入院患者）'!W9,"")</f>
        <v>#VALUE!</v>
      </c>
      <c r="L8" s="63" t="e">
        <f>IF('記載様式（入院患者）'!X9&lt;='記載様式（入院患者）'!$CC$3,'記載様式（入院患者）'!X9,"")</f>
        <v>#VALUE!</v>
      </c>
      <c r="M8" s="63" t="e">
        <f>IF('記載様式（入院患者）'!Y9&lt;='記載様式（入院患者）'!$CC$3,'記載様式（入院患者）'!Y9,"")</f>
        <v>#VALUE!</v>
      </c>
      <c r="N8" s="63" t="e">
        <f>IF('記載様式（入院患者）'!Z9&lt;='記載様式（入院患者）'!$CC$3,'記載様式（入院患者）'!Z9,"")</f>
        <v>#VALUE!</v>
      </c>
      <c r="O8" s="63" t="e">
        <f>IF('記載様式（入院患者）'!AA9&lt;='記載様式（入院患者）'!$CC$3,'記載様式（入院患者）'!AA9,"")</f>
        <v>#VALUE!</v>
      </c>
      <c r="P8" s="63" t="e">
        <f>IF('記載様式（入院患者）'!AB9&lt;='記載様式（入院患者）'!$CC$3,'記載様式（入院患者）'!AB9,"")</f>
        <v>#VALUE!</v>
      </c>
      <c r="Q8" s="63" t="e">
        <f>IF('記載様式（入院患者）'!AC9&lt;='記載様式（入院患者）'!$CC$3,'記載様式（入院患者）'!AC9,"")</f>
        <v>#VALUE!</v>
      </c>
      <c r="R8" s="63" t="e">
        <f>IF('記載様式（入院患者）'!AD9&lt;='記載様式（入院患者）'!$CC$3,'記載様式（入院患者）'!AD9,"")</f>
        <v>#VALUE!</v>
      </c>
      <c r="S8" s="63" t="e">
        <f>IF('記載様式（入院患者）'!AE9&lt;='記載様式（入院患者）'!$CC$3,'記載様式（入院患者）'!AE9,"")</f>
        <v>#VALUE!</v>
      </c>
      <c r="T8" s="63" t="e">
        <f>IF('記載様式（入院患者）'!AF9&lt;='記載様式（入院患者）'!$CC$3,'記載様式（入院患者）'!AF9,"")</f>
        <v>#VALUE!</v>
      </c>
      <c r="U8" s="63" t="e">
        <f>IF('記載様式（入院患者）'!AG9&lt;='記載様式（入院患者）'!$CC$3,'記載様式（入院患者）'!AG9,"")</f>
        <v>#VALUE!</v>
      </c>
      <c r="V8" s="63" t="e">
        <f>IF('記載様式（入院患者）'!AH9&lt;='記載様式（入院患者）'!$CC$3,'記載様式（入院患者）'!AH9,"")</f>
        <v>#VALUE!</v>
      </c>
      <c r="W8" s="63" t="e">
        <f>IF('記載様式（入院患者）'!AI9&lt;='記載様式（入院患者）'!$CC$3,'記載様式（入院患者）'!AI9,"")</f>
        <v>#VALUE!</v>
      </c>
      <c r="X8" s="63" t="e">
        <f>IF('記載様式（入院患者）'!AJ9&lt;='記載様式（入院患者）'!$CC$3,'記載様式（入院患者）'!AJ9,"")</f>
        <v>#VALUE!</v>
      </c>
      <c r="Y8" s="63" t="e">
        <f>IF('記載様式（入院患者）'!AK9&lt;='記載様式（入院患者）'!$CC$3,'記載様式（入院患者）'!AK9,"")</f>
        <v>#VALUE!</v>
      </c>
      <c r="Z8" s="63" t="e">
        <f>IF('記載様式（入院患者）'!AL9&lt;='記載様式（入院患者）'!$CC$3,'記載様式（入院患者）'!AL9,"")</f>
        <v>#VALUE!</v>
      </c>
      <c r="AA8" s="63" t="e">
        <f>IF('記載様式（入院患者）'!AM9&lt;='記載様式（入院患者）'!$CC$3,'記載様式（入院患者）'!AM9,"")</f>
        <v>#VALUE!</v>
      </c>
      <c r="AB8" s="63" t="e">
        <f>IF('記載様式（入院患者）'!AN9&lt;='記載様式（入院患者）'!$CC$3,'記載様式（入院患者）'!AN9,"")</f>
        <v>#VALUE!</v>
      </c>
      <c r="AC8" s="63" t="e">
        <f>IF('記載様式（入院患者）'!AO9&lt;='記載様式（入院患者）'!$CC$3,'記載様式（入院患者）'!AO9,"")</f>
        <v>#VALUE!</v>
      </c>
      <c r="AD8" s="63" t="e">
        <f>IF('記載様式（入院患者）'!AP9&lt;='記載様式（入院患者）'!$CC$3,'記載様式（入院患者）'!AP9,"")</f>
        <v>#VALUE!</v>
      </c>
      <c r="AE8" s="63" t="e">
        <f>IF('記載様式（入院患者）'!AQ9&lt;='記載様式（入院患者）'!$CC$3,'記載様式（入院患者）'!AQ9,"")</f>
        <v>#VALUE!</v>
      </c>
      <c r="AF8" s="63" t="e">
        <f>IF('記載様式（入院患者）'!AR9&lt;='記載様式（入院患者）'!$CC$3,'記載様式（入院患者）'!AR9,"")</f>
        <v>#VALUE!</v>
      </c>
      <c r="AG8" s="63" t="e">
        <f>IF('記載様式（入院患者）'!AS9&lt;='記載様式（入院患者）'!$CC$3,'記載様式（入院患者）'!AS9,"")</f>
        <v>#VALUE!</v>
      </c>
      <c r="AH8" s="63" t="e">
        <f>IF('記載様式（入院患者）'!AT9&lt;='記載様式（入院患者）'!$CC$3,'記載様式（入院患者）'!AT9,"")</f>
        <v>#VALUE!</v>
      </c>
      <c r="AI8" s="63" t="e">
        <f>IF('記載様式（入院患者）'!AU9&lt;='記載様式（入院患者）'!$CC$3,'記載様式（入院患者）'!AU9,"")</f>
        <v>#VALUE!</v>
      </c>
      <c r="AJ8" s="63" t="e">
        <f>IF('記載様式（入院患者）'!AV9&lt;='記載様式（入院患者）'!$CC$3,'記載様式（入院患者）'!AV9,"")</f>
        <v>#VALUE!</v>
      </c>
      <c r="AK8" s="63" t="e">
        <f>IF('記載様式（入院患者）'!AW9&lt;='記載様式（入院患者）'!$CC$3,'記載様式（入院患者）'!AW9,"")</f>
        <v>#VALUE!</v>
      </c>
      <c r="AL8" s="63" t="e">
        <f>IF('記載様式（入院患者）'!AX9&lt;='記載様式（入院患者）'!$CC$3,'記載様式（入院患者）'!AX9,"")</f>
        <v>#VALUE!</v>
      </c>
      <c r="AM8" s="63" t="e">
        <f>IF('記載様式（入院患者）'!AY9&lt;='記載様式（入院患者）'!$CC$3,'記載様式（入院患者）'!AY9,"")</f>
        <v>#VALUE!</v>
      </c>
      <c r="AN8" s="63" t="e">
        <f>IF('記載様式（入院患者）'!AZ9&lt;='記載様式（入院患者）'!$CC$3,'記載様式（入院患者）'!AZ9,"")</f>
        <v>#VALUE!</v>
      </c>
      <c r="AO8" s="63" t="e">
        <f>IF('記載様式（入院患者）'!BA9&lt;='記載様式（入院患者）'!$CC$3,'記載様式（入院患者）'!BA9,"")</f>
        <v>#VALUE!</v>
      </c>
      <c r="AP8" s="63" t="e">
        <f>IF('記載様式（入院患者）'!BB9&lt;='記載様式（入院患者）'!$CC$3,'記載様式（入院患者）'!BB9,"")</f>
        <v>#VALUE!</v>
      </c>
      <c r="AQ8" s="63" t="e">
        <f>IF('記載様式（入院患者）'!BC9&lt;='記載様式（入院患者）'!$CC$3,'記載様式（入院患者）'!BC9,"")</f>
        <v>#VALUE!</v>
      </c>
      <c r="AR8" s="63" t="e">
        <f>IF('記載様式（入院患者）'!BD9&lt;='記載様式（入院患者）'!$CC$3,'記載様式（入院患者）'!BD9,"")</f>
        <v>#VALUE!</v>
      </c>
      <c r="AS8" s="63" t="e">
        <f>IF('記載様式（入院患者）'!BE9&lt;='記載様式（入院患者）'!$CC$3,'記載様式（入院患者）'!BE9,"")</f>
        <v>#VALUE!</v>
      </c>
      <c r="AT8" s="63" t="e">
        <f>IF('記載様式（入院患者）'!BF9&lt;='記載様式（入院患者）'!$CC$3,'記載様式（入院患者）'!BF9,"")</f>
        <v>#VALUE!</v>
      </c>
      <c r="AU8" s="63" t="e">
        <f>IF('記載様式（入院患者）'!BG9&lt;='記載様式（入院患者）'!$CC$3,'記載様式（入院患者）'!BG9,"")</f>
        <v>#VALUE!</v>
      </c>
      <c r="AV8" s="63" t="e">
        <f>IF('記載様式（入院患者）'!BH9&lt;='記載様式（入院患者）'!$CC$3,'記載様式（入院患者）'!BH9,"")</f>
        <v>#VALUE!</v>
      </c>
      <c r="AW8" s="63" t="e">
        <f>IF('記載様式（入院患者）'!BI9&lt;='記載様式（入院患者）'!$CC$3,'記載様式（入院患者）'!BI9,"")</f>
        <v>#VALUE!</v>
      </c>
      <c r="AX8" s="63" t="e">
        <f>IF('記載様式（入院患者）'!BJ9&lt;='記載様式（入院患者）'!$CC$3,'記載様式（入院患者）'!BJ9,"")</f>
        <v>#VALUE!</v>
      </c>
      <c r="AY8" s="63" t="e">
        <f>IF('記載様式（入院患者）'!BK9&lt;='記載様式（入院患者）'!$CC$3,'記載様式（入院患者）'!BK9,"")</f>
        <v>#VALUE!</v>
      </c>
      <c r="AZ8" s="63" t="e">
        <f>IF('記載様式（入院患者）'!BL9&lt;='記載様式（入院患者）'!$CC$3,'記載様式（入院患者）'!BL9,"")</f>
        <v>#VALUE!</v>
      </c>
      <c r="BA8" s="63" t="e">
        <f>IF('記載様式（入院患者）'!BM9&lt;='記載様式（入院患者）'!$CC$3,'記載様式（入院患者）'!BM9,"")</f>
        <v>#VALUE!</v>
      </c>
      <c r="BB8" s="63" t="e">
        <f>IF('記載様式（入院患者）'!BN9&lt;='記載様式（入院患者）'!$CC$3,'記載様式（入院患者）'!BN9,"")</f>
        <v>#VALUE!</v>
      </c>
      <c r="BC8" s="63" t="e">
        <f>IF('記載様式（入院患者）'!BO9&lt;='記載様式（入院患者）'!$CC$3,'記載様式（入院患者）'!BO9,"")</f>
        <v>#VALUE!</v>
      </c>
      <c r="BD8" s="63" t="e">
        <f>IF('記載様式（入院患者）'!BP9&lt;='記載様式（入院患者）'!$CC$3,'記載様式（入院患者）'!BP9,"")</f>
        <v>#VALUE!</v>
      </c>
      <c r="BE8" s="63" t="e">
        <f>IF('記載様式（入院患者）'!BQ9&lt;='記載様式（入院患者）'!$CC$3,'記載様式（入院患者）'!BQ9,"")</f>
        <v>#VALUE!</v>
      </c>
      <c r="BF8" s="63" t="e">
        <f>IF('記載様式（入院患者）'!BR9&lt;='記載様式（入院患者）'!$CC$3,'記載様式（入院患者）'!BR9,"")</f>
        <v>#VALUE!</v>
      </c>
      <c r="BG8" s="63" t="e">
        <f>IF('記載様式（入院患者）'!BS9&lt;='記載様式（入院患者）'!$CC$3,'記載様式（入院患者）'!BS9,"")</f>
        <v>#VALUE!</v>
      </c>
      <c r="BH8" s="63" t="e">
        <f>IF('記載様式（入院患者）'!BT9&lt;='記載様式（入院患者）'!$CC$3,'記載様式（入院患者）'!BT9,"")</f>
        <v>#VALUE!</v>
      </c>
      <c r="BI8" s="63" t="e">
        <f>IF('記載様式（入院患者）'!BU9&lt;='記載様式（入院患者）'!$CC$3,'記載様式（入院患者）'!BU9,"")</f>
        <v>#VALUE!</v>
      </c>
      <c r="BJ8" s="64" t="e">
        <f>IF('記載様式（入院患者）'!BV9&lt;='記載様式（入院患者）'!$CC$3,'記載様式（入院患者）'!BV9,"")</f>
        <v>#VALUE!</v>
      </c>
      <c r="BK8" s="19"/>
    </row>
    <row r="9" spans="1:63" ht="20.100000000000001" customHeight="1" x14ac:dyDescent="0.15">
      <c r="A9" s="58" t="s">
        <v>69</v>
      </c>
      <c r="B9" s="55" t="e">
        <f>SUM(C9:BI9)</f>
        <v>#VALUE!</v>
      </c>
      <c r="C9" s="79" t="e">
        <f>IF(C2&lt;='記載様式（入院患者）'!$CC$3,COUNTIF('記載様式（入院患者）'!$CL:$CL,C2),"")</f>
        <v>#VALUE!</v>
      </c>
      <c r="D9" s="73" t="e">
        <f>IF(D2&lt;='記載様式（入院患者）'!$CC$3,COUNTIF('記載様式（入院患者）'!$CL:$CL,D2),"")</f>
        <v>#VALUE!</v>
      </c>
      <c r="E9" s="73" t="e">
        <f>IF(E2&lt;='記載様式（入院患者）'!$CC$3,COUNTIF('記載様式（入院患者）'!$CL:$CL,E2),"")</f>
        <v>#VALUE!</v>
      </c>
      <c r="F9" s="73" t="e">
        <f>IF(F2&lt;='記載様式（入院患者）'!$CC$3,COUNTIF('記載様式（入院患者）'!$CL:$CL,F2),"")</f>
        <v>#VALUE!</v>
      </c>
      <c r="G9" s="73" t="e">
        <f>IF(G2&lt;='記載様式（入院患者）'!$CC$3,COUNTIF('記載様式（入院患者）'!$CL:$CL,G2),"")</f>
        <v>#VALUE!</v>
      </c>
      <c r="H9" s="73" t="e">
        <f>IF(H2&lt;='記載様式（入院患者）'!$CC$3,COUNTIF('記載様式（入院患者）'!$CL:$CL,H2),"")</f>
        <v>#VALUE!</v>
      </c>
      <c r="I9" s="73" t="e">
        <f>IF(I2&lt;='記載様式（入院患者）'!$CC$3,COUNTIF('記載様式（入院患者）'!$CL:$CL,I2),"")</f>
        <v>#VALUE!</v>
      </c>
      <c r="J9" s="73" t="e">
        <f>IF(J2&lt;='記載様式（入院患者）'!$CC$3,COUNTIF('記載様式（入院患者）'!$CL:$CL,J2),"")</f>
        <v>#VALUE!</v>
      </c>
      <c r="K9" s="73" t="e">
        <f>IF(K2&lt;='記載様式（入院患者）'!$CC$3,COUNTIF('記載様式（入院患者）'!$CL:$CL,K2),"")</f>
        <v>#VALUE!</v>
      </c>
      <c r="L9" s="73" t="e">
        <f>IF(L2&lt;='記載様式（入院患者）'!$CC$3,COUNTIF('記載様式（入院患者）'!$CL:$CL,L2),"")</f>
        <v>#VALUE!</v>
      </c>
      <c r="M9" s="73" t="e">
        <f>IF(M2&lt;='記載様式（入院患者）'!$CC$3,COUNTIF('記載様式（入院患者）'!$CL:$CL,M2),"")</f>
        <v>#VALUE!</v>
      </c>
      <c r="N9" s="73" t="e">
        <f>IF(N2&lt;='記載様式（入院患者）'!$CC$3,COUNTIF('記載様式（入院患者）'!$CL:$CL,N2),"")</f>
        <v>#VALUE!</v>
      </c>
      <c r="O9" s="73" t="e">
        <f>IF(O2&lt;='記載様式（入院患者）'!$CC$3,COUNTIF('記載様式（入院患者）'!$CL:$CL,O2),"")</f>
        <v>#VALUE!</v>
      </c>
      <c r="P9" s="73" t="e">
        <f>IF(P2&lt;='記載様式（入院患者）'!$CC$3,COUNTIF('記載様式（入院患者）'!$CL:$CL,P2),"")</f>
        <v>#VALUE!</v>
      </c>
      <c r="Q9" s="73" t="e">
        <f>IF(Q2&lt;='記載様式（入院患者）'!$CC$3,COUNTIF('記載様式（入院患者）'!$CL:$CL,Q2),"")</f>
        <v>#VALUE!</v>
      </c>
      <c r="R9" s="73" t="e">
        <f>IF(R2&lt;='記載様式（入院患者）'!$CC$3,COUNTIF('記載様式（入院患者）'!$CL:$CL,R2),"")</f>
        <v>#VALUE!</v>
      </c>
      <c r="S9" s="73" t="e">
        <f>IF(S2&lt;='記載様式（入院患者）'!$CC$3,COUNTIF('記載様式（入院患者）'!$CL:$CL,S2),"")</f>
        <v>#VALUE!</v>
      </c>
      <c r="T9" s="73" t="e">
        <f>IF(T2&lt;='記載様式（入院患者）'!$CC$3,COUNTIF('記載様式（入院患者）'!$CL:$CL,T2),"")</f>
        <v>#VALUE!</v>
      </c>
      <c r="U9" s="73" t="e">
        <f>IF(U2&lt;='記載様式（入院患者）'!$CC$3,COUNTIF('記載様式（入院患者）'!$CL:$CL,U2),"")</f>
        <v>#VALUE!</v>
      </c>
      <c r="V9" s="73" t="e">
        <f>IF(V2&lt;='記載様式（入院患者）'!$CC$3,COUNTIF('記載様式（入院患者）'!$CL:$CL,V2),"")</f>
        <v>#VALUE!</v>
      </c>
      <c r="W9" s="73" t="e">
        <f>IF(W2&lt;='記載様式（入院患者）'!$CC$3,COUNTIF('記載様式（入院患者）'!$CL:$CL,W2),"")</f>
        <v>#VALUE!</v>
      </c>
      <c r="X9" s="73" t="e">
        <f>IF(X2&lt;='記載様式（入院患者）'!$CC$3,COUNTIF('記載様式（入院患者）'!$CL:$CL,X2),"")</f>
        <v>#VALUE!</v>
      </c>
      <c r="Y9" s="73" t="e">
        <f>IF(Y2&lt;='記載様式（入院患者）'!$CC$3,COUNTIF('記載様式（入院患者）'!$CL:$CL,Y2),"")</f>
        <v>#VALUE!</v>
      </c>
      <c r="Z9" s="73" t="e">
        <f>IF(Z2&lt;='記載様式（入院患者）'!$CC$3,COUNTIF('記載様式（入院患者）'!$CL:$CL,Z2),"")</f>
        <v>#VALUE!</v>
      </c>
      <c r="AA9" s="73" t="e">
        <f>IF(AA2&lt;='記載様式（入院患者）'!$CC$3,COUNTIF('記載様式（入院患者）'!$CL:$CL,AA2),"")</f>
        <v>#VALUE!</v>
      </c>
      <c r="AB9" s="73" t="e">
        <f>IF(AB2&lt;='記載様式（入院患者）'!$CC$3,COUNTIF('記載様式（入院患者）'!$CL:$CL,AB2),"")</f>
        <v>#VALUE!</v>
      </c>
      <c r="AC9" s="73" t="e">
        <f>IF(AC2&lt;='記載様式（入院患者）'!$CC$3,COUNTIF('記載様式（入院患者）'!$CL:$CL,AC2),"")</f>
        <v>#VALUE!</v>
      </c>
      <c r="AD9" s="73" t="e">
        <f>IF(AD2&lt;='記載様式（入院患者）'!$CC$3,COUNTIF('記載様式（入院患者）'!$CL:$CL,AD2),"")</f>
        <v>#VALUE!</v>
      </c>
      <c r="AE9" s="73" t="e">
        <f>IF(AE2&lt;='記載様式（入院患者）'!$CC$3,COUNTIF('記載様式（入院患者）'!$CL:$CL,AE2),"")</f>
        <v>#VALUE!</v>
      </c>
      <c r="AF9" s="73" t="e">
        <f>IF(AF2&lt;='記載様式（入院患者）'!$CC$3,COUNTIF('記載様式（入院患者）'!$CL:$CL,AF2),"")</f>
        <v>#VALUE!</v>
      </c>
      <c r="AG9" s="73" t="e">
        <f>IF(AG2&lt;='記載様式（入院患者）'!$CC$3,COUNTIF('記載様式（入院患者）'!$CL:$CL,AG2),"")</f>
        <v>#VALUE!</v>
      </c>
      <c r="AH9" s="73" t="e">
        <f>IF(AH2&lt;='記載様式（入院患者）'!$CC$3,COUNTIF('記載様式（入院患者）'!$CL:$CL,AH2),"")</f>
        <v>#VALUE!</v>
      </c>
      <c r="AI9" s="73" t="e">
        <f>IF(AI2&lt;='記載様式（入院患者）'!$CC$3,COUNTIF('記載様式（入院患者）'!$CL:$CL,AI2),"")</f>
        <v>#VALUE!</v>
      </c>
      <c r="AJ9" s="73" t="e">
        <f>IF(AJ2&lt;='記載様式（入院患者）'!$CC$3,COUNTIF('記載様式（入院患者）'!$CL:$CL,AJ2),"")</f>
        <v>#VALUE!</v>
      </c>
      <c r="AK9" s="73" t="e">
        <f>IF(AK2&lt;='記載様式（入院患者）'!$CC$3,COUNTIF('記載様式（入院患者）'!$CL:$CL,AK2),"")</f>
        <v>#VALUE!</v>
      </c>
      <c r="AL9" s="73" t="e">
        <f>IF(AL2&lt;='記載様式（入院患者）'!$CC$3,COUNTIF('記載様式（入院患者）'!$CL:$CL,AL2),"")</f>
        <v>#VALUE!</v>
      </c>
      <c r="AM9" s="73" t="e">
        <f>IF(AM2&lt;='記載様式（入院患者）'!$CC$3,COUNTIF('記載様式（入院患者）'!$CL:$CL,AM2),"")</f>
        <v>#VALUE!</v>
      </c>
      <c r="AN9" s="73" t="e">
        <f>IF(AN2&lt;='記載様式（入院患者）'!$CC$3,COUNTIF('記載様式（入院患者）'!$CL:$CL,AN2),"")</f>
        <v>#VALUE!</v>
      </c>
      <c r="AO9" s="73" t="e">
        <f>IF(AO2&lt;='記載様式（入院患者）'!$CC$3,COUNTIF('記載様式（入院患者）'!$CL:$CL,AO2),"")</f>
        <v>#VALUE!</v>
      </c>
      <c r="AP9" s="73" t="e">
        <f>IF(AP2&lt;='記載様式（入院患者）'!$CC$3,COUNTIF('記載様式（入院患者）'!$CL:$CL,AP2),"")</f>
        <v>#VALUE!</v>
      </c>
      <c r="AQ9" s="73" t="e">
        <f>IF(AQ2&lt;='記載様式（入院患者）'!$CC$3,COUNTIF('記載様式（入院患者）'!$CL:$CL,AQ2),"")</f>
        <v>#VALUE!</v>
      </c>
      <c r="AR9" s="73" t="e">
        <f>IF(AR2&lt;='記載様式（入院患者）'!$CC$3,COUNTIF('記載様式（入院患者）'!$CL:$CL,AR2),"")</f>
        <v>#VALUE!</v>
      </c>
      <c r="AS9" s="73" t="e">
        <f>IF(AS2&lt;='記載様式（入院患者）'!$CC$3,COUNTIF('記載様式（入院患者）'!$CL:$CL,AS2),"")</f>
        <v>#VALUE!</v>
      </c>
      <c r="AT9" s="73" t="e">
        <f>IF(AT2&lt;='記載様式（入院患者）'!$CC$3,COUNTIF('記載様式（入院患者）'!$CL:$CL,AT2),"")</f>
        <v>#VALUE!</v>
      </c>
      <c r="AU9" s="73" t="e">
        <f>IF(AU2&lt;='記載様式（入院患者）'!$CC$3,COUNTIF('記載様式（入院患者）'!$CL:$CL,AU2),"")</f>
        <v>#VALUE!</v>
      </c>
      <c r="AV9" s="73" t="e">
        <f>IF(AV2&lt;='記載様式（入院患者）'!$CC$3,COUNTIF('記載様式（入院患者）'!$CL:$CL,AV2),"")</f>
        <v>#VALUE!</v>
      </c>
      <c r="AW9" s="73" t="e">
        <f>IF(AW2&lt;='記載様式（入院患者）'!$CC$3,COUNTIF('記載様式（入院患者）'!$CL:$CL,AW2),"")</f>
        <v>#VALUE!</v>
      </c>
      <c r="AX9" s="73" t="e">
        <f>IF(AX2&lt;='記載様式（入院患者）'!$CC$3,COUNTIF('記載様式（入院患者）'!$CL:$CL,AX2),"")</f>
        <v>#VALUE!</v>
      </c>
      <c r="AY9" s="73" t="e">
        <f>IF(AY2&lt;='記載様式（入院患者）'!$CC$3,COUNTIF('記載様式（入院患者）'!$CL:$CL,AY2),"")</f>
        <v>#VALUE!</v>
      </c>
      <c r="AZ9" s="73" t="e">
        <f>IF(AZ2&lt;='記載様式（入院患者）'!$CC$3,COUNTIF('記載様式（入院患者）'!$CL:$CL,AZ2),"")</f>
        <v>#VALUE!</v>
      </c>
      <c r="BA9" s="73" t="e">
        <f>IF(BA2&lt;='記載様式（入院患者）'!$CC$3,COUNTIF('記載様式（入院患者）'!$CL:$CL,BA2),"")</f>
        <v>#VALUE!</v>
      </c>
      <c r="BB9" s="73" t="e">
        <f>IF(BB2&lt;='記載様式（入院患者）'!$CC$3,COUNTIF('記載様式（入院患者）'!$CL:$CL,BB2),"")</f>
        <v>#VALUE!</v>
      </c>
      <c r="BC9" s="73" t="e">
        <f>IF(BC2&lt;='記載様式（入院患者）'!$CC$3,COUNTIF('記載様式（入院患者）'!$CL:$CL,BC2),"")</f>
        <v>#VALUE!</v>
      </c>
      <c r="BD9" s="73" t="e">
        <f>IF(BD2&lt;='記載様式（入院患者）'!$CC$3,COUNTIF('記載様式（入院患者）'!$CL:$CL,BD2),"")</f>
        <v>#VALUE!</v>
      </c>
      <c r="BE9" s="73" t="e">
        <f>IF(BE2&lt;='記載様式（入院患者）'!$CC$3,COUNTIF('記載様式（入院患者）'!$CL:$CL,BE2),"")</f>
        <v>#VALUE!</v>
      </c>
      <c r="BF9" s="73" t="e">
        <f>IF(BF2&lt;='記載様式（入院患者）'!$CC$3,COUNTIF('記載様式（入院患者）'!$CL:$CL,BF2),"")</f>
        <v>#VALUE!</v>
      </c>
      <c r="BG9" s="73" t="e">
        <f>IF(BG2&lt;='記載様式（入院患者）'!$CC$3,COUNTIF('記載様式（入院患者）'!$CL:$CL,BG2),"")</f>
        <v>#VALUE!</v>
      </c>
      <c r="BH9" s="73" t="e">
        <f>IF(BH2&lt;='記載様式（入院患者）'!$CC$3,COUNTIF('記載様式（入院患者）'!$CL:$CL,BH2),"")</f>
        <v>#VALUE!</v>
      </c>
      <c r="BI9" s="73" t="e">
        <f>IF(BI2&lt;='記載様式（入院患者）'!$CC$3,COUNTIF('記載様式（入院患者）'!$CL:$CL,BI2),"")</f>
        <v>#VALUE!</v>
      </c>
      <c r="BJ9" s="74" t="e">
        <f>IF(BJ2&lt;='記載様式（入院患者）'!$CC$3,COUNTIF('記載様式（入院患者）'!$CL:$CL,BJ2),"")</f>
        <v>#VALUE!</v>
      </c>
      <c r="BK9" s="19"/>
    </row>
    <row r="10" spans="1:63" ht="20.100000000000001" customHeight="1" x14ac:dyDescent="0.15">
      <c r="A10" s="56" t="s">
        <v>65</v>
      </c>
      <c r="B10" s="82" t="e">
        <f>SUM(C10:BI10)</f>
        <v>#VALUE!</v>
      </c>
      <c r="C10" s="70" t="e">
        <f>IF(C2&lt;='記載様式（入院患者）'!$CC$3,COUNTIF('記載様式（職員）'!$CJ:$CJ,C2),"")</f>
        <v>#VALUE!</v>
      </c>
      <c r="D10" s="44" t="e">
        <f>IF(D2&lt;='記載様式（入院患者）'!$CC$3,COUNTIF('記載様式（職員）'!$CJ:$CJ,D2),"")</f>
        <v>#VALUE!</v>
      </c>
      <c r="E10" s="44" t="e">
        <f>IF(E2&lt;='記載様式（入院患者）'!$CC$3,COUNTIF('記載様式（職員）'!$CJ:$CJ,E2),"")</f>
        <v>#VALUE!</v>
      </c>
      <c r="F10" s="44" t="e">
        <f>IF(F2&lt;='記載様式（入院患者）'!$CC$3,COUNTIF('記載様式（職員）'!$CJ:$CJ,F2),"")</f>
        <v>#VALUE!</v>
      </c>
      <c r="G10" s="44" t="e">
        <f>IF(G2&lt;='記載様式（入院患者）'!$CC$3,COUNTIF('記載様式（職員）'!$CJ:$CJ,G2),"")</f>
        <v>#VALUE!</v>
      </c>
      <c r="H10" s="44" t="e">
        <f>IF(H2&lt;='記載様式（入院患者）'!$CC$3,COUNTIF('記載様式（職員）'!$CJ:$CJ,H2),"")</f>
        <v>#VALUE!</v>
      </c>
      <c r="I10" s="44" t="e">
        <f>IF(I2&lt;='記載様式（入院患者）'!$CC$3,COUNTIF('記載様式（職員）'!$CJ:$CJ,I2),"")</f>
        <v>#VALUE!</v>
      </c>
      <c r="J10" s="44" t="e">
        <f>IF(J2&lt;='記載様式（入院患者）'!$CC$3,COUNTIF('記載様式（職員）'!$CJ:$CJ,J2),"")</f>
        <v>#VALUE!</v>
      </c>
      <c r="K10" s="44" t="e">
        <f>IF(K2&lt;='記載様式（入院患者）'!$CC$3,COUNTIF('記載様式（職員）'!$CJ:$CJ,K2),"")</f>
        <v>#VALUE!</v>
      </c>
      <c r="L10" s="44" t="e">
        <f>IF(L2&lt;='記載様式（入院患者）'!$CC$3,COUNTIF('記載様式（職員）'!$CJ:$CJ,L2),"")</f>
        <v>#VALUE!</v>
      </c>
      <c r="M10" s="44" t="e">
        <f>IF(M2&lt;='記載様式（入院患者）'!$CC$3,COUNTIF('記載様式（職員）'!$CJ:$CJ,M2),"")</f>
        <v>#VALUE!</v>
      </c>
      <c r="N10" s="44" t="e">
        <f>IF(N2&lt;='記載様式（入院患者）'!$CC$3,COUNTIF('記載様式（職員）'!$CJ:$CJ,N2),"")</f>
        <v>#VALUE!</v>
      </c>
      <c r="O10" s="44" t="e">
        <f>IF(O2&lt;='記載様式（入院患者）'!$CC$3,COUNTIF('記載様式（職員）'!$CJ:$CJ,O2),"")</f>
        <v>#VALUE!</v>
      </c>
      <c r="P10" s="44" t="e">
        <f>IF(P2&lt;='記載様式（入院患者）'!$CC$3,COUNTIF('記載様式（職員）'!$CJ:$CJ,P2),"")</f>
        <v>#VALUE!</v>
      </c>
      <c r="Q10" s="44" t="e">
        <f>IF(Q2&lt;='記載様式（入院患者）'!$CC$3,COUNTIF('記載様式（職員）'!$CJ:$CJ,Q2),"")</f>
        <v>#VALUE!</v>
      </c>
      <c r="R10" s="44" t="e">
        <f>IF(R2&lt;='記載様式（入院患者）'!$CC$3,COUNTIF('記載様式（職員）'!$CJ:$CJ,R2),"")</f>
        <v>#VALUE!</v>
      </c>
      <c r="S10" s="44" t="e">
        <f>IF(S2&lt;='記載様式（入院患者）'!$CC$3,COUNTIF('記載様式（職員）'!$CJ:$CJ,S2),"")</f>
        <v>#VALUE!</v>
      </c>
      <c r="T10" s="44" t="e">
        <f>IF(T2&lt;='記載様式（入院患者）'!$CC$3,COUNTIF('記載様式（職員）'!$CJ:$CJ,T2),"")</f>
        <v>#VALUE!</v>
      </c>
      <c r="U10" s="44" t="e">
        <f>IF(U2&lt;='記載様式（入院患者）'!$CC$3,COUNTIF('記載様式（職員）'!$CJ:$CJ,U2),"")</f>
        <v>#VALUE!</v>
      </c>
      <c r="V10" s="44" t="e">
        <f>IF(V2&lt;='記載様式（入院患者）'!$CC$3,COUNTIF('記載様式（職員）'!$CJ:$CJ,V2),"")</f>
        <v>#VALUE!</v>
      </c>
      <c r="W10" s="44" t="e">
        <f>IF(W2&lt;='記載様式（入院患者）'!$CC$3,COUNTIF('記載様式（職員）'!$CJ:$CJ,W2),"")</f>
        <v>#VALUE!</v>
      </c>
      <c r="X10" s="44" t="e">
        <f>IF(X2&lt;='記載様式（入院患者）'!$CC$3,COUNTIF('記載様式（職員）'!$CJ:$CJ,X2),"")</f>
        <v>#VALUE!</v>
      </c>
      <c r="Y10" s="44" t="e">
        <f>IF(Y2&lt;='記載様式（入院患者）'!$CC$3,COUNTIF('記載様式（職員）'!$CJ:$CJ,Y2),"")</f>
        <v>#VALUE!</v>
      </c>
      <c r="Z10" s="44" t="e">
        <f>IF(Z2&lt;='記載様式（入院患者）'!$CC$3,COUNTIF('記載様式（職員）'!$CJ:$CJ,Z2),"")</f>
        <v>#VALUE!</v>
      </c>
      <c r="AA10" s="44" t="e">
        <f>IF(AA2&lt;='記載様式（入院患者）'!$CC$3,COUNTIF('記載様式（職員）'!$CJ:$CJ,AA2),"")</f>
        <v>#VALUE!</v>
      </c>
      <c r="AB10" s="44" t="e">
        <f>IF(AB2&lt;='記載様式（入院患者）'!$CC$3,COUNTIF('記載様式（職員）'!$CJ:$CJ,AB2),"")</f>
        <v>#VALUE!</v>
      </c>
      <c r="AC10" s="44" t="e">
        <f>IF(AC2&lt;='記載様式（入院患者）'!$CC$3,COUNTIF('記載様式（職員）'!$CJ:$CJ,AC2),"")</f>
        <v>#VALUE!</v>
      </c>
      <c r="AD10" s="44" t="e">
        <f>IF(AD2&lt;='記載様式（入院患者）'!$CC$3,COUNTIF('記載様式（職員）'!$CJ:$CJ,AD2),"")</f>
        <v>#VALUE!</v>
      </c>
      <c r="AE10" s="44" t="e">
        <f>IF(AE2&lt;='記載様式（入院患者）'!$CC$3,COUNTIF('記載様式（職員）'!$CJ:$CJ,AE2),"")</f>
        <v>#VALUE!</v>
      </c>
      <c r="AF10" s="44" t="e">
        <f>IF(AF2&lt;='記載様式（入院患者）'!$CC$3,COUNTIF('記載様式（職員）'!$CJ:$CJ,AF2),"")</f>
        <v>#VALUE!</v>
      </c>
      <c r="AG10" s="44" t="e">
        <f>IF(AG2&lt;='記載様式（入院患者）'!$CC$3,COUNTIF('記載様式（職員）'!$CJ:$CJ,AG2),"")</f>
        <v>#VALUE!</v>
      </c>
      <c r="AH10" s="44" t="e">
        <f>IF(AH2&lt;='記載様式（入院患者）'!$CC$3,COUNTIF('記載様式（職員）'!$CJ:$CJ,AH2),"")</f>
        <v>#VALUE!</v>
      </c>
      <c r="AI10" s="44" t="e">
        <f>IF(AI2&lt;='記載様式（入院患者）'!$CC$3,COUNTIF('記載様式（職員）'!$CJ:$CJ,AI2),"")</f>
        <v>#VALUE!</v>
      </c>
      <c r="AJ10" s="44" t="e">
        <f>IF(AJ2&lt;='記載様式（入院患者）'!$CC$3,COUNTIF('記載様式（職員）'!$CJ:$CJ,AJ2),"")</f>
        <v>#VALUE!</v>
      </c>
      <c r="AK10" s="44" t="e">
        <f>IF(AK2&lt;='記載様式（入院患者）'!$CC$3,COUNTIF('記載様式（職員）'!$CJ:$CJ,AK2),"")</f>
        <v>#VALUE!</v>
      </c>
      <c r="AL10" s="44" t="e">
        <f>IF(AL2&lt;='記載様式（入院患者）'!$CC$3,COUNTIF('記載様式（職員）'!$CJ:$CJ,AL2),"")</f>
        <v>#VALUE!</v>
      </c>
      <c r="AM10" s="44" t="e">
        <f>IF(AM2&lt;='記載様式（入院患者）'!$CC$3,COUNTIF('記載様式（職員）'!$CJ:$CJ,AM2),"")</f>
        <v>#VALUE!</v>
      </c>
      <c r="AN10" s="44" t="e">
        <f>IF(AN2&lt;='記載様式（入院患者）'!$CC$3,COUNTIF('記載様式（職員）'!$CJ:$CJ,AN2),"")</f>
        <v>#VALUE!</v>
      </c>
      <c r="AO10" s="44" t="e">
        <f>IF(AO2&lt;='記載様式（入院患者）'!$CC$3,COUNTIF('記載様式（職員）'!$CJ:$CJ,AO2),"")</f>
        <v>#VALUE!</v>
      </c>
      <c r="AP10" s="44" t="e">
        <f>IF(AP2&lt;='記載様式（入院患者）'!$CC$3,COUNTIF('記載様式（職員）'!$CJ:$CJ,AP2),"")</f>
        <v>#VALUE!</v>
      </c>
      <c r="AQ10" s="44" t="e">
        <f>IF(AQ2&lt;='記載様式（入院患者）'!$CC$3,COUNTIF('記載様式（職員）'!$CJ:$CJ,AQ2),"")</f>
        <v>#VALUE!</v>
      </c>
      <c r="AR10" s="44" t="e">
        <f>IF(AR2&lt;='記載様式（入院患者）'!$CC$3,COUNTIF('記載様式（職員）'!$CJ:$CJ,AR2),"")</f>
        <v>#VALUE!</v>
      </c>
      <c r="AS10" s="44" t="e">
        <f>IF(AS2&lt;='記載様式（入院患者）'!$CC$3,COUNTIF('記載様式（職員）'!$CJ:$CJ,AS2),"")</f>
        <v>#VALUE!</v>
      </c>
      <c r="AT10" s="44" t="e">
        <f>IF(AT2&lt;='記載様式（入院患者）'!$CC$3,COUNTIF('記載様式（職員）'!$CJ:$CJ,AT2),"")</f>
        <v>#VALUE!</v>
      </c>
      <c r="AU10" s="44" t="e">
        <f>IF(AU2&lt;='記載様式（入院患者）'!$CC$3,COUNTIF('記載様式（職員）'!$CJ:$CJ,AU2),"")</f>
        <v>#VALUE!</v>
      </c>
      <c r="AV10" s="44" t="e">
        <f>IF(AV2&lt;='記載様式（入院患者）'!$CC$3,COUNTIF('記載様式（職員）'!$CJ:$CJ,AV2),"")</f>
        <v>#VALUE!</v>
      </c>
      <c r="AW10" s="44" t="e">
        <f>IF(AW2&lt;='記載様式（入院患者）'!$CC$3,COUNTIF('記載様式（職員）'!$CJ:$CJ,AW2),"")</f>
        <v>#VALUE!</v>
      </c>
      <c r="AX10" s="44" t="e">
        <f>IF(AX2&lt;='記載様式（入院患者）'!$CC$3,COUNTIF('記載様式（職員）'!$CJ:$CJ,AX2),"")</f>
        <v>#VALUE!</v>
      </c>
      <c r="AY10" s="44" t="e">
        <f>IF(AY2&lt;='記載様式（入院患者）'!$CC$3,COUNTIF('記載様式（職員）'!$CJ:$CJ,AY2),"")</f>
        <v>#VALUE!</v>
      </c>
      <c r="AZ10" s="44" t="e">
        <f>IF(AZ2&lt;='記載様式（入院患者）'!$CC$3,COUNTIF('記載様式（職員）'!$CJ:$CJ,AZ2),"")</f>
        <v>#VALUE!</v>
      </c>
      <c r="BA10" s="44" t="e">
        <f>IF(BA2&lt;='記載様式（入院患者）'!$CC$3,COUNTIF('記載様式（職員）'!$CJ:$CJ,BA2),"")</f>
        <v>#VALUE!</v>
      </c>
      <c r="BB10" s="44" t="e">
        <f>IF(BB2&lt;='記載様式（入院患者）'!$CC$3,COUNTIF('記載様式（職員）'!$CJ:$CJ,BB2),"")</f>
        <v>#VALUE!</v>
      </c>
      <c r="BC10" s="44" t="e">
        <f>IF(BC2&lt;='記載様式（入院患者）'!$CC$3,COUNTIF('記載様式（職員）'!$CJ:$CJ,BC2),"")</f>
        <v>#VALUE!</v>
      </c>
      <c r="BD10" s="44" t="e">
        <f>IF(BD2&lt;='記載様式（入院患者）'!$CC$3,COUNTIF('記載様式（職員）'!$CJ:$CJ,BD2),"")</f>
        <v>#VALUE!</v>
      </c>
      <c r="BE10" s="44" t="e">
        <f>IF(BE2&lt;='記載様式（入院患者）'!$CC$3,COUNTIF('記載様式（職員）'!$CJ:$CJ,BE2),"")</f>
        <v>#VALUE!</v>
      </c>
      <c r="BF10" s="44" t="e">
        <f>IF(BF2&lt;='記載様式（入院患者）'!$CC$3,COUNTIF('記載様式（職員）'!$CJ:$CJ,BF2),"")</f>
        <v>#VALUE!</v>
      </c>
      <c r="BG10" s="44" t="e">
        <f>IF(BG2&lt;='記載様式（入院患者）'!$CC$3,COUNTIF('記載様式（職員）'!$CJ:$CJ,BG2),"")</f>
        <v>#VALUE!</v>
      </c>
      <c r="BH10" s="44" t="e">
        <f>IF(BH2&lt;='記載様式（入院患者）'!$CC$3,COUNTIF('記載様式（職員）'!$CJ:$CJ,BH2),"")</f>
        <v>#VALUE!</v>
      </c>
      <c r="BI10" s="44" t="e">
        <f>IF(BI2&lt;='記載様式（入院患者）'!$CC$3,COUNTIF('記載様式（職員）'!$CJ:$CJ,BI2),"")</f>
        <v>#VALUE!</v>
      </c>
      <c r="BJ10" s="71" t="e">
        <f>IF(BJ2&lt;='記載様式（入院患者）'!$CC$3,COUNTIF('記載様式（職員）'!$CJ:$CJ,BJ2),"")</f>
        <v>#VALUE!</v>
      </c>
      <c r="BK10" s="19"/>
    </row>
    <row r="11" spans="1:63" ht="20.100000000000001" customHeight="1" thickBot="1" x14ac:dyDescent="0.2">
      <c r="A11" s="57" t="s">
        <v>66</v>
      </c>
      <c r="B11" s="83" t="e">
        <f>SUM(C11:BJ11)</f>
        <v>#VALUE!</v>
      </c>
      <c r="C11" s="80" t="e">
        <f>IF(C8&lt;='記載様式（入院患者）'!$CC$3,C9+C10,"")</f>
        <v>#VALUE!</v>
      </c>
      <c r="D11" s="77" t="e">
        <f>IF(D8&lt;='記載様式（入院患者）'!$CC$3,D9+D10,"")</f>
        <v>#VALUE!</v>
      </c>
      <c r="E11" s="77" t="e">
        <f>IF(E8&lt;='記載様式（入院患者）'!$CC$3,E9+E10,"")</f>
        <v>#VALUE!</v>
      </c>
      <c r="F11" s="77" t="e">
        <f>IF(F8&lt;='記載様式（入院患者）'!$CC$3,F9+F10,"")</f>
        <v>#VALUE!</v>
      </c>
      <c r="G11" s="77" t="e">
        <f>IF(G8&lt;='記載様式（入院患者）'!$CC$3,G9+G10,"")</f>
        <v>#VALUE!</v>
      </c>
      <c r="H11" s="77" t="e">
        <f>IF(H8&lt;='記載様式（入院患者）'!$CC$3,H9+H10,"")</f>
        <v>#VALUE!</v>
      </c>
      <c r="I11" s="77" t="e">
        <f>IF(I8&lt;='記載様式（入院患者）'!$CC$3,I9+I10,"")</f>
        <v>#VALUE!</v>
      </c>
      <c r="J11" s="77" t="e">
        <f>IF(J8&lt;='記載様式（入院患者）'!$CC$3,J9+J10,"")</f>
        <v>#VALUE!</v>
      </c>
      <c r="K11" s="77" t="e">
        <f>IF(K8&lt;='記載様式（入院患者）'!$CC$3,K9+K10,"")</f>
        <v>#VALUE!</v>
      </c>
      <c r="L11" s="77" t="e">
        <f>IF(L8&lt;='記載様式（入院患者）'!$CC$3,L9+L10,"")</f>
        <v>#VALUE!</v>
      </c>
      <c r="M11" s="77" t="e">
        <f>IF(M8&lt;='記載様式（入院患者）'!$CC$3,M9+M10,"")</f>
        <v>#VALUE!</v>
      </c>
      <c r="N11" s="77" t="e">
        <f>IF(N8&lt;='記載様式（入院患者）'!$CC$3,N9+N10,"")</f>
        <v>#VALUE!</v>
      </c>
      <c r="O11" s="77" t="e">
        <f>IF(O8&lt;='記載様式（入院患者）'!$CC$3,O9+O10,"")</f>
        <v>#VALUE!</v>
      </c>
      <c r="P11" s="77" t="e">
        <f>IF(P8&lt;='記載様式（入院患者）'!$CC$3,P9+P10,"")</f>
        <v>#VALUE!</v>
      </c>
      <c r="Q11" s="77" t="e">
        <f>IF(Q8&lt;='記載様式（入院患者）'!$CC$3,Q9+Q10,"")</f>
        <v>#VALUE!</v>
      </c>
      <c r="R11" s="77" t="e">
        <f>IF(R8&lt;='記載様式（入院患者）'!$CC$3,R9+R10,"")</f>
        <v>#VALUE!</v>
      </c>
      <c r="S11" s="77" t="e">
        <f>IF(S8&lt;='記載様式（入院患者）'!$CC$3,S9+S10,"")</f>
        <v>#VALUE!</v>
      </c>
      <c r="T11" s="77" t="e">
        <f>IF(T8&lt;='記載様式（入院患者）'!$CC$3,T9+T10,"")</f>
        <v>#VALUE!</v>
      </c>
      <c r="U11" s="77" t="e">
        <f>IF(U8&lt;='記載様式（入院患者）'!$CC$3,U9+U10,"")</f>
        <v>#VALUE!</v>
      </c>
      <c r="V11" s="77" t="e">
        <f>IF(V8&lt;='記載様式（入院患者）'!$CC$3,V9+V10,"")</f>
        <v>#VALUE!</v>
      </c>
      <c r="W11" s="77" t="e">
        <f>IF(W8&lt;='記載様式（入院患者）'!$CC$3,W9+W10,"")</f>
        <v>#VALUE!</v>
      </c>
      <c r="X11" s="77" t="e">
        <f>IF(X8&lt;='記載様式（入院患者）'!$CC$3,X9+X10,"")</f>
        <v>#VALUE!</v>
      </c>
      <c r="Y11" s="77" t="e">
        <f>IF(Y8&lt;='記載様式（入院患者）'!$CC$3,Y9+Y10,"")</f>
        <v>#VALUE!</v>
      </c>
      <c r="Z11" s="77" t="e">
        <f>IF(Z8&lt;='記載様式（入院患者）'!$CC$3,Z9+Z10,"")</f>
        <v>#VALUE!</v>
      </c>
      <c r="AA11" s="77" t="e">
        <f>IF(AA8&lt;='記載様式（入院患者）'!$CC$3,AA9+AA10,"")</f>
        <v>#VALUE!</v>
      </c>
      <c r="AB11" s="77" t="e">
        <f>IF(AB8&lt;='記載様式（入院患者）'!$CC$3,AB9+AB10,"")</f>
        <v>#VALUE!</v>
      </c>
      <c r="AC11" s="77" t="e">
        <f>IF(AC8&lt;='記載様式（入院患者）'!$CC$3,AC9+AC10,"")</f>
        <v>#VALUE!</v>
      </c>
      <c r="AD11" s="77" t="e">
        <f>IF(AD8&lt;='記載様式（入院患者）'!$CC$3,AD9+AD10,"")</f>
        <v>#VALUE!</v>
      </c>
      <c r="AE11" s="77" t="e">
        <f>IF(AE8&lt;='記載様式（入院患者）'!$CC$3,AE9+AE10,"")</f>
        <v>#VALUE!</v>
      </c>
      <c r="AF11" s="77" t="e">
        <f>IF(AF8&lt;='記載様式（入院患者）'!$CC$3,AF9+AF10,"")</f>
        <v>#VALUE!</v>
      </c>
      <c r="AG11" s="77" t="e">
        <f>IF(AG8&lt;='記載様式（入院患者）'!$CC$3,AG9+AG10,"")</f>
        <v>#VALUE!</v>
      </c>
      <c r="AH11" s="77" t="e">
        <f>IF(AH8&lt;='記載様式（入院患者）'!$CC$3,AH9+AH10,"")</f>
        <v>#VALUE!</v>
      </c>
      <c r="AI11" s="77" t="e">
        <f>IF(AI8&lt;='記載様式（入院患者）'!$CC$3,AI9+AI10,"")</f>
        <v>#VALUE!</v>
      </c>
      <c r="AJ11" s="77" t="e">
        <f>IF(AJ8&lt;='記載様式（入院患者）'!$CC$3,AJ9+AJ10,"")</f>
        <v>#VALUE!</v>
      </c>
      <c r="AK11" s="77" t="e">
        <f>IF(AK8&lt;='記載様式（入院患者）'!$CC$3,AK9+AK10,"")</f>
        <v>#VALUE!</v>
      </c>
      <c r="AL11" s="77" t="e">
        <f>IF(AL8&lt;='記載様式（入院患者）'!$CC$3,AL9+AL10,"")</f>
        <v>#VALUE!</v>
      </c>
      <c r="AM11" s="77" t="e">
        <f>IF(AM8&lt;='記載様式（入院患者）'!$CC$3,AM9+AM10,"")</f>
        <v>#VALUE!</v>
      </c>
      <c r="AN11" s="77" t="e">
        <f>IF(AN8&lt;='記載様式（入院患者）'!$CC$3,AN9+AN10,"")</f>
        <v>#VALUE!</v>
      </c>
      <c r="AO11" s="77" t="e">
        <f>IF(AO8&lt;='記載様式（入院患者）'!$CC$3,AO9+AO10,"")</f>
        <v>#VALUE!</v>
      </c>
      <c r="AP11" s="77" t="e">
        <f>IF(AP8&lt;='記載様式（入院患者）'!$CC$3,AP9+AP10,"")</f>
        <v>#VALUE!</v>
      </c>
      <c r="AQ11" s="77" t="e">
        <f>IF(AQ8&lt;='記載様式（入院患者）'!$CC$3,AQ9+AQ10,"")</f>
        <v>#VALUE!</v>
      </c>
      <c r="AR11" s="77" t="e">
        <f>IF(AR8&lt;='記載様式（入院患者）'!$CC$3,AR9+AR10,"")</f>
        <v>#VALUE!</v>
      </c>
      <c r="AS11" s="77" t="e">
        <f>IF(AS8&lt;='記載様式（入院患者）'!$CC$3,AS9+AS10,"")</f>
        <v>#VALUE!</v>
      </c>
      <c r="AT11" s="77" t="e">
        <f>IF(AT8&lt;='記載様式（入院患者）'!$CC$3,AT9+AT10,"")</f>
        <v>#VALUE!</v>
      </c>
      <c r="AU11" s="77" t="e">
        <f>IF(AU8&lt;='記載様式（入院患者）'!$CC$3,AU9+AU10,"")</f>
        <v>#VALUE!</v>
      </c>
      <c r="AV11" s="77" t="e">
        <f>IF(AV8&lt;='記載様式（入院患者）'!$CC$3,AV9+AV10,"")</f>
        <v>#VALUE!</v>
      </c>
      <c r="AW11" s="77" t="e">
        <f>IF(AW8&lt;='記載様式（入院患者）'!$CC$3,AW9+AW10,"")</f>
        <v>#VALUE!</v>
      </c>
      <c r="AX11" s="77" t="e">
        <f>IF(AX8&lt;='記載様式（入院患者）'!$CC$3,AX9+AX10,"")</f>
        <v>#VALUE!</v>
      </c>
      <c r="AY11" s="77" t="e">
        <f>IF(AY8&lt;='記載様式（入院患者）'!$CC$3,AY9+AY10,"")</f>
        <v>#VALUE!</v>
      </c>
      <c r="AZ11" s="77" t="e">
        <f>IF(AZ8&lt;='記載様式（入院患者）'!$CC$3,AZ9+AZ10,"")</f>
        <v>#VALUE!</v>
      </c>
      <c r="BA11" s="77" t="e">
        <f>IF(BA8&lt;='記載様式（入院患者）'!$CC$3,BA9+BA10,"")</f>
        <v>#VALUE!</v>
      </c>
      <c r="BB11" s="77" t="e">
        <f>IF(BB8&lt;='記載様式（入院患者）'!$CC$3,BB9+BB10,"")</f>
        <v>#VALUE!</v>
      </c>
      <c r="BC11" s="77" t="e">
        <f>IF(BC8&lt;='記載様式（入院患者）'!$CC$3,BC9+BC10,"")</f>
        <v>#VALUE!</v>
      </c>
      <c r="BD11" s="77" t="e">
        <f>IF(BD8&lt;='記載様式（入院患者）'!$CC$3,BD9+BD10,"")</f>
        <v>#VALUE!</v>
      </c>
      <c r="BE11" s="77" t="e">
        <f>IF(BE8&lt;='記載様式（入院患者）'!$CC$3,BE9+BE10,"")</f>
        <v>#VALUE!</v>
      </c>
      <c r="BF11" s="77" t="e">
        <f>IF(BF8&lt;='記載様式（入院患者）'!$CC$3,BF9+BF10,"")</f>
        <v>#VALUE!</v>
      </c>
      <c r="BG11" s="77" t="e">
        <f>IF(BG8&lt;='記載様式（入院患者）'!$CC$3,BG9+BG10,"")</f>
        <v>#VALUE!</v>
      </c>
      <c r="BH11" s="77" t="e">
        <f>IF(BH8&lt;='記載様式（入院患者）'!$CC$3,BH9+BH10,"")</f>
        <v>#VALUE!</v>
      </c>
      <c r="BI11" s="77" t="e">
        <f>IF(BI8&lt;='記載様式（入院患者）'!$CC$3,BI9+BI10,"")</f>
        <v>#VALUE!</v>
      </c>
      <c r="BJ11" s="78" t="e">
        <f>IF(BJ8&lt;='記載様式（入院患者）'!$CC$3,BJ9+BJ10,"")</f>
        <v>#VALUE!</v>
      </c>
      <c r="BK11" s="19"/>
    </row>
    <row r="12" spans="1:63" ht="20.100000000000001" customHeight="1" x14ac:dyDescent="0.15">
      <c r="B12" s="46"/>
      <c r="C12" s="4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19"/>
    </row>
    <row r="13" spans="1:63" ht="20.100000000000001" customHeight="1" thickBot="1" x14ac:dyDescent="0.2">
      <c r="A13" t="s">
        <v>67</v>
      </c>
      <c r="B13" s="46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19"/>
    </row>
    <row r="14" spans="1:63" ht="20.100000000000001" customHeight="1" thickBot="1" x14ac:dyDescent="0.2">
      <c r="A14" s="60"/>
      <c r="B14" s="81" t="s">
        <v>24</v>
      </c>
      <c r="C14" s="62" t="e">
        <f>IF('記載様式（入院患者）'!O9&lt;='記載様式（入院患者）'!$CC$3,'記載様式（入院患者）'!O9,"")</f>
        <v>#VALUE!</v>
      </c>
      <c r="D14" s="62" t="e">
        <f>IF('記載様式（入院患者）'!P9&lt;='記載様式（入院患者）'!$CC$3,'記載様式（入院患者）'!P9,"")</f>
        <v>#VALUE!</v>
      </c>
      <c r="E14" s="62" t="e">
        <f>IF('記載様式（入院患者）'!Q9&lt;='記載様式（入院患者）'!$CC$3,'記載様式（入院患者）'!Q9,"")</f>
        <v>#VALUE!</v>
      </c>
      <c r="F14" s="62" t="e">
        <f>IF('記載様式（入院患者）'!R9&lt;='記載様式（入院患者）'!$CC$3,'記載様式（入院患者）'!R9,"")</f>
        <v>#VALUE!</v>
      </c>
      <c r="G14" s="62" t="e">
        <f>IF('記載様式（入院患者）'!S9&lt;='記載様式（入院患者）'!$CC$3,'記載様式（入院患者）'!S9,"")</f>
        <v>#VALUE!</v>
      </c>
      <c r="H14" s="62" t="e">
        <f>IF('記載様式（入院患者）'!T9&lt;='記載様式（入院患者）'!$CC$3,'記載様式（入院患者）'!T9,"")</f>
        <v>#VALUE!</v>
      </c>
      <c r="I14" s="62" t="e">
        <f>IF('記載様式（入院患者）'!U9&lt;='記載様式（入院患者）'!$CC$3,'記載様式（入院患者）'!U9,"")</f>
        <v>#VALUE!</v>
      </c>
      <c r="J14" s="62" t="e">
        <f>IF('記載様式（入院患者）'!V9&lt;='記載様式（入院患者）'!$CC$3,'記載様式（入院患者）'!V9,"")</f>
        <v>#VALUE!</v>
      </c>
      <c r="K14" s="62" t="e">
        <f>IF('記載様式（入院患者）'!W9&lt;='記載様式（入院患者）'!$CC$3,'記載様式（入院患者）'!W9,"")</f>
        <v>#VALUE!</v>
      </c>
      <c r="L14" s="62" t="e">
        <f>IF('記載様式（入院患者）'!X9&lt;='記載様式（入院患者）'!$CC$3,'記載様式（入院患者）'!X9,"")</f>
        <v>#VALUE!</v>
      </c>
      <c r="M14" s="62" t="e">
        <f>IF('記載様式（入院患者）'!Y9&lt;='記載様式（入院患者）'!$CC$3,'記載様式（入院患者）'!Y9,"")</f>
        <v>#VALUE!</v>
      </c>
      <c r="N14" s="62" t="e">
        <f>IF('記載様式（入院患者）'!Z9&lt;='記載様式（入院患者）'!$CC$3,'記載様式（入院患者）'!Z9,"")</f>
        <v>#VALUE!</v>
      </c>
      <c r="O14" s="62" t="e">
        <f>IF('記載様式（入院患者）'!AA9&lt;='記載様式（入院患者）'!$CC$3,'記載様式（入院患者）'!AA9,"")</f>
        <v>#VALUE!</v>
      </c>
      <c r="P14" s="62" t="e">
        <f>IF('記載様式（入院患者）'!AB9&lt;='記載様式（入院患者）'!$CC$3,'記載様式（入院患者）'!AB9,"")</f>
        <v>#VALUE!</v>
      </c>
      <c r="Q14" s="62" t="e">
        <f>IF('記載様式（入院患者）'!AC9&lt;='記載様式（入院患者）'!$CC$3,'記載様式（入院患者）'!AC9,"")</f>
        <v>#VALUE!</v>
      </c>
      <c r="R14" s="62" t="e">
        <f>IF('記載様式（入院患者）'!AD9&lt;='記載様式（入院患者）'!$CC$3,'記載様式（入院患者）'!AD9,"")</f>
        <v>#VALUE!</v>
      </c>
      <c r="S14" s="62" t="e">
        <f>IF('記載様式（入院患者）'!AE9&lt;='記載様式（入院患者）'!$CC$3,'記載様式（入院患者）'!AE9,"")</f>
        <v>#VALUE!</v>
      </c>
      <c r="T14" s="62" t="e">
        <f>IF('記載様式（入院患者）'!AF9&lt;='記載様式（入院患者）'!$CC$3,'記載様式（入院患者）'!AF9,"")</f>
        <v>#VALUE!</v>
      </c>
      <c r="U14" s="62" t="e">
        <f>IF('記載様式（入院患者）'!AG9&lt;='記載様式（入院患者）'!$CC$3,'記載様式（入院患者）'!AG9,"")</f>
        <v>#VALUE!</v>
      </c>
      <c r="V14" s="62" t="e">
        <f>IF('記載様式（入院患者）'!AH9&lt;='記載様式（入院患者）'!$CC$3,'記載様式（入院患者）'!AH9,"")</f>
        <v>#VALUE!</v>
      </c>
      <c r="W14" s="62" t="e">
        <f>IF('記載様式（入院患者）'!AI9&lt;='記載様式（入院患者）'!$CC$3,'記載様式（入院患者）'!AI9,"")</f>
        <v>#VALUE!</v>
      </c>
      <c r="X14" s="62" t="e">
        <f>IF('記載様式（入院患者）'!AJ9&lt;='記載様式（入院患者）'!$CC$3,'記載様式（入院患者）'!AJ9,"")</f>
        <v>#VALUE!</v>
      </c>
      <c r="Y14" s="62" t="e">
        <f>IF('記載様式（入院患者）'!AK9&lt;='記載様式（入院患者）'!$CC$3,'記載様式（入院患者）'!AK9,"")</f>
        <v>#VALUE!</v>
      </c>
      <c r="Z14" s="62" t="e">
        <f>IF('記載様式（入院患者）'!AL9&lt;='記載様式（入院患者）'!$CC$3,'記載様式（入院患者）'!AL9,"")</f>
        <v>#VALUE!</v>
      </c>
      <c r="AA14" s="62" t="e">
        <f>IF('記載様式（入院患者）'!AM9&lt;='記載様式（入院患者）'!$CC$3,'記載様式（入院患者）'!AM9,"")</f>
        <v>#VALUE!</v>
      </c>
      <c r="AB14" s="62" t="e">
        <f>IF('記載様式（入院患者）'!AN9&lt;='記載様式（入院患者）'!$CC$3,'記載様式（入院患者）'!AN9,"")</f>
        <v>#VALUE!</v>
      </c>
      <c r="AC14" s="62" t="e">
        <f>IF('記載様式（入院患者）'!AO9&lt;='記載様式（入院患者）'!$CC$3,'記載様式（入院患者）'!AO9,"")</f>
        <v>#VALUE!</v>
      </c>
      <c r="AD14" s="62" t="e">
        <f>IF('記載様式（入院患者）'!AP9&lt;='記載様式（入院患者）'!$CC$3,'記載様式（入院患者）'!AP9,"")</f>
        <v>#VALUE!</v>
      </c>
      <c r="AE14" s="62" t="e">
        <f>IF('記載様式（入院患者）'!AQ9&lt;='記載様式（入院患者）'!$CC$3,'記載様式（入院患者）'!AQ9,"")</f>
        <v>#VALUE!</v>
      </c>
      <c r="AF14" s="62" t="e">
        <f>IF('記載様式（入院患者）'!AR9&lt;='記載様式（入院患者）'!$CC$3,'記載様式（入院患者）'!AR9,"")</f>
        <v>#VALUE!</v>
      </c>
      <c r="AG14" s="62" t="e">
        <f>IF('記載様式（入院患者）'!AS9&lt;='記載様式（入院患者）'!$CC$3,'記載様式（入院患者）'!AS9,"")</f>
        <v>#VALUE!</v>
      </c>
      <c r="AH14" s="62" t="e">
        <f>IF('記載様式（入院患者）'!AT9&lt;='記載様式（入院患者）'!$CC$3,'記載様式（入院患者）'!AT9,"")</f>
        <v>#VALUE!</v>
      </c>
      <c r="AI14" s="62" t="e">
        <f>IF('記載様式（入院患者）'!AU9&lt;='記載様式（入院患者）'!$CC$3,'記載様式（入院患者）'!AU9,"")</f>
        <v>#VALUE!</v>
      </c>
      <c r="AJ14" s="62" t="e">
        <f>IF('記載様式（入院患者）'!AV9&lt;='記載様式（入院患者）'!$CC$3,'記載様式（入院患者）'!AV9,"")</f>
        <v>#VALUE!</v>
      </c>
      <c r="AK14" s="62" t="e">
        <f>IF('記載様式（入院患者）'!AW9&lt;='記載様式（入院患者）'!$CC$3,'記載様式（入院患者）'!AW9,"")</f>
        <v>#VALUE!</v>
      </c>
      <c r="AL14" s="62" t="e">
        <f>IF('記載様式（入院患者）'!AX9&lt;='記載様式（入院患者）'!$CC$3,'記載様式（入院患者）'!AX9,"")</f>
        <v>#VALUE!</v>
      </c>
      <c r="AM14" s="62" t="e">
        <f>IF('記載様式（入院患者）'!AY9&lt;='記載様式（入院患者）'!$CC$3,'記載様式（入院患者）'!AY9,"")</f>
        <v>#VALUE!</v>
      </c>
      <c r="AN14" s="62" t="e">
        <f>IF('記載様式（入院患者）'!AZ9&lt;='記載様式（入院患者）'!$CC$3,'記載様式（入院患者）'!AZ9,"")</f>
        <v>#VALUE!</v>
      </c>
      <c r="AO14" s="62" t="e">
        <f>IF('記載様式（入院患者）'!BA9&lt;='記載様式（入院患者）'!$CC$3,'記載様式（入院患者）'!BA9,"")</f>
        <v>#VALUE!</v>
      </c>
      <c r="AP14" s="62" t="e">
        <f>IF('記載様式（入院患者）'!BB9&lt;='記載様式（入院患者）'!$CC$3,'記載様式（入院患者）'!BB9,"")</f>
        <v>#VALUE!</v>
      </c>
      <c r="AQ14" s="62" t="e">
        <f>IF('記載様式（入院患者）'!BC9&lt;='記載様式（入院患者）'!$CC$3,'記載様式（入院患者）'!BC9,"")</f>
        <v>#VALUE!</v>
      </c>
      <c r="AR14" s="62" t="e">
        <f>IF('記載様式（入院患者）'!BD9&lt;='記載様式（入院患者）'!$CC$3,'記載様式（入院患者）'!BD9,"")</f>
        <v>#VALUE!</v>
      </c>
      <c r="AS14" s="62" t="e">
        <f>IF('記載様式（入院患者）'!BE9&lt;='記載様式（入院患者）'!$CC$3,'記載様式（入院患者）'!BE9,"")</f>
        <v>#VALUE!</v>
      </c>
      <c r="AT14" s="62" t="e">
        <f>IF('記載様式（入院患者）'!BF9&lt;='記載様式（入院患者）'!$CC$3,'記載様式（入院患者）'!BF9,"")</f>
        <v>#VALUE!</v>
      </c>
      <c r="AU14" s="62" t="e">
        <f>IF('記載様式（入院患者）'!BG9&lt;='記載様式（入院患者）'!$CC$3,'記載様式（入院患者）'!BG9,"")</f>
        <v>#VALUE!</v>
      </c>
      <c r="AV14" s="62" t="e">
        <f>IF('記載様式（入院患者）'!BH9&lt;='記載様式（入院患者）'!$CC$3,'記載様式（入院患者）'!BH9,"")</f>
        <v>#VALUE!</v>
      </c>
      <c r="AW14" s="62" t="e">
        <f>IF('記載様式（入院患者）'!BI9&lt;='記載様式（入院患者）'!$CC$3,'記載様式（入院患者）'!BI9,"")</f>
        <v>#VALUE!</v>
      </c>
      <c r="AX14" s="62" t="e">
        <f>IF('記載様式（入院患者）'!BJ9&lt;='記載様式（入院患者）'!$CC$3,'記載様式（入院患者）'!BJ9,"")</f>
        <v>#VALUE!</v>
      </c>
      <c r="AY14" s="62" t="e">
        <f>IF('記載様式（入院患者）'!BK9&lt;='記載様式（入院患者）'!$CC$3,'記載様式（入院患者）'!BK9,"")</f>
        <v>#VALUE!</v>
      </c>
      <c r="AZ14" s="62" t="e">
        <f>IF('記載様式（入院患者）'!BL9&lt;='記載様式（入院患者）'!$CC$3,'記載様式（入院患者）'!BL9,"")</f>
        <v>#VALUE!</v>
      </c>
      <c r="BA14" s="62" t="e">
        <f>IF('記載様式（入院患者）'!BM9&lt;='記載様式（入院患者）'!$CC$3,'記載様式（入院患者）'!BM9,"")</f>
        <v>#VALUE!</v>
      </c>
      <c r="BB14" s="62" t="e">
        <f>IF('記載様式（入院患者）'!BN9&lt;='記載様式（入院患者）'!$CC$3,'記載様式（入院患者）'!BN9,"")</f>
        <v>#VALUE!</v>
      </c>
      <c r="BC14" s="62" t="e">
        <f>IF('記載様式（入院患者）'!BO9&lt;='記載様式（入院患者）'!$CC$3,'記載様式（入院患者）'!BO9,"")</f>
        <v>#VALUE!</v>
      </c>
      <c r="BD14" s="62" t="e">
        <f>IF('記載様式（入院患者）'!BP9&lt;='記載様式（入院患者）'!$CC$3,'記載様式（入院患者）'!BP9,"")</f>
        <v>#VALUE!</v>
      </c>
      <c r="BE14" s="62" t="e">
        <f>IF('記載様式（入院患者）'!BQ9&lt;='記載様式（入院患者）'!$CC$3,'記載様式（入院患者）'!BQ9,"")</f>
        <v>#VALUE!</v>
      </c>
      <c r="BF14" s="62" t="e">
        <f>IF('記載様式（入院患者）'!BR9&lt;='記載様式（入院患者）'!$CC$3,'記載様式（入院患者）'!BR9,"")</f>
        <v>#VALUE!</v>
      </c>
      <c r="BG14" s="62" t="e">
        <f>IF('記載様式（入院患者）'!BS9&lt;='記載様式（入院患者）'!$CC$3,'記載様式（入院患者）'!BS9,"")</f>
        <v>#VALUE!</v>
      </c>
      <c r="BH14" s="62" t="e">
        <f>IF('記載様式（入院患者）'!BT9&lt;='記載様式（入院患者）'!$CC$3,'記載様式（入院患者）'!BT9,"")</f>
        <v>#VALUE!</v>
      </c>
      <c r="BI14" s="62" t="e">
        <f>IF('記載様式（入院患者）'!BU9&lt;='記載様式（入院患者）'!$CC$3,'記載様式（入院患者）'!BU9,"")</f>
        <v>#VALUE!</v>
      </c>
      <c r="BJ14" s="84" t="e">
        <f>IF('記載様式（入院患者）'!BV9&lt;='記載様式（入院患者）'!$CC$3,'記載様式（入院患者）'!BV9,"")</f>
        <v>#VALUE!</v>
      </c>
      <c r="BK14" s="19"/>
    </row>
    <row r="15" spans="1:63" ht="20.100000000000001" customHeight="1" x14ac:dyDescent="0.15">
      <c r="A15" s="58" t="s">
        <v>69</v>
      </c>
      <c r="B15" s="55" t="e">
        <f>SUM(C15:BI15)</f>
        <v>#VALUE!</v>
      </c>
      <c r="C15" s="72" t="e">
        <f>IF(C2&lt;='記載様式（入院患者）'!$CC$3,COUNTIFS('記載様式（入院患者）'!$K:$K,"陽性",'記載様式（入院患者）'!$L:$L,C2),"")</f>
        <v>#VALUE!</v>
      </c>
      <c r="D15" s="73" t="e">
        <f>IF(D2&lt;='記載様式（入院患者）'!$CC$3,COUNTIFS('記載様式（入院患者）'!$K:$K,"陽性",'記載様式（入院患者）'!$L:$L,D2),"")</f>
        <v>#VALUE!</v>
      </c>
      <c r="E15" s="73" t="e">
        <f>IF(E2&lt;='記載様式（入院患者）'!$CC$3,COUNTIFS('記載様式（入院患者）'!$K:$K,"陽性",'記載様式（入院患者）'!$L:$L,E2),"")</f>
        <v>#VALUE!</v>
      </c>
      <c r="F15" s="73" t="e">
        <f>IF(F2&lt;='記載様式（入院患者）'!$CC$3,COUNTIFS('記載様式（入院患者）'!$K:$K,"陽性",'記載様式（入院患者）'!$L:$L,F2),"")</f>
        <v>#VALUE!</v>
      </c>
      <c r="G15" s="73" t="e">
        <f>IF(G2&lt;='記載様式（入院患者）'!$CC$3,COUNTIFS('記載様式（入院患者）'!$K:$K,"陽性",'記載様式（入院患者）'!$L:$L,G2),"")</f>
        <v>#VALUE!</v>
      </c>
      <c r="H15" s="73" t="e">
        <f>IF(H2&lt;='記載様式（入院患者）'!$CC$3,COUNTIFS('記載様式（入院患者）'!$K:$K,"陽性",'記載様式（入院患者）'!$L:$L,H2),"")</f>
        <v>#VALUE!</v>
      </c>
      <c r="I15" s="73" t="e">
        <f>IF(I2&lt;='記載様式（入院患者）'!$CC$3,COUNTIFS('記載様式（入院患者）'!$K:$K,"陽性",'記載様式（入院患者）'!$L:$L,I2),"")</f>
        <v>#VALUE!</v>
      </c>
      <c r="J15" s="73" t="e">
        <f>IF(J2&lt;='記載様式（入院患者）'!$CC$3,COUNTIFS('記載様式（入院患者）'!$K:$K,"陽性",'記載様式（入院患者）'!$L:$L,J2),"")</f>
        <v>#VALUE!</v>
      </c>
      <c r="K15" s="73" t="e">
        <f>IF(K2&lt;='記載様式（入院患者）'!$CC$3,COUNTIFS('記載様式（入院患者）'!$K:$K,"陽性",'記載様式（入院患者）'!$L:$L,K2),"")</f>
        <v>#VALUE!</v>
      </c>
      <c r="L15" s="73" t="e">
        <f>IF(L2&lt;='記載様式（入院患者）'!$CC$3,COUNTIFS('記載様式（入院患者）'!$K:$K,"陽性",'記載様式（入院患者）'!$L:$L,L2),"")</f>
        <v>#VALUE!</v>
      </c>
      <c r="M15" s="73" t="e">
        <f>IF(M2&lt;='記載様式（入院患者）'!$CC$3,COUNTIFS('記載様式（入院患者）'!$K:$K,"陽性",'記載様式（入院患者）'!$L:$L,M2),"")</f>
        <v>#VALUE!</v>
      </c>
      <c r="N15" s="73" t="e">
        <f>IF(N2&lt;='記載様式（入院患者）'!$CC$3,COUNTIFS('記載様式（入院患者）'!$K:$K,"陽性",'記載様式（入院患者）'!$L:$L,N2),"")</f>
        <v>#VALUE!</v>
      </c>
      <c r="O15" s="73" t="e">
        <f>IF(O2&lt;='記載様式（入院患者）'!$CC$3,COUNTIFS('記載様式（入院患者）'!$K:$K,"陽性",'記載様式（入院患者）'!$L:$L,O2),"")</f>
        <v>#VALUE!</v>
      </c>
      <c r="P15" s="73" t="e">
        <f>IF(P2&lt;='記載様式（入院患者）'!$CC$3,COUNTIFS('記載様式（入院患者）'!$K:$K,"陽性",'記載様式（入院患者）'!$L:$L,P2),"")</f>
        <v>#VALUE!</v>
      </c>
      <c r="Q15" s="73" t="e">
        <f>IF(Q2&lt;='記載様式（入院患者）'!$CC$3,COUNTIFS('記載様式（入院患者）'!$K:$K,"陽性",'記載様式（入院患者）'!$L:$L,Q2),"")</f>
        <v>#VALUE!</v>
      </c>
      <c r="R15" s="73" t="e">
        <f>IF(R2&lt;='記載様式（入院患者）'!$CC$3,COUNTIFS('記載様式（入院患者）'!$K:$K,"陽性",'記載様式（入院患者）'!$L:$L,R2),"")</f>
        <v>#VALUE!</v>
      </c>
      <c r="S15" s="73" t="e">
        <f>IF(S2&lt;='記載様式（入院患者）'!$CC$3,COUNTIFS('記載様式（入院患者）'!$K:$K,"陽性",'記載様式（入院患者）'!$L:$L,S2),"")</f>
        <v>#VALUE!</v>
      </c>
      <c r="T15" s="73" t="e">
        <f>IF(T2&lt;='記載様式（入院患者）'!$CC$3,COUNTIFS('記載様式（入院患者）'!$K:$K,"陽性",'記載様式（入院患者）'!$L:$L,T2),"")</f>
        <v>#VALUE!</v>
      </c>
      <c r="U15" s="73" t="e">
        <f>IF(U2&lt;='記載様式（入院患者）'!$CC$3,COUNTIFS('記載様式（入院患者）'!$K:$K,"陽性",'記載様式（入院患者）'!$L:$L,U2),"")</f>
        <v>#VALUE!</v>
      </c>
      <c r="V15" s="73" t="e">
        <f>IF(V2&lt;='記載様式（入院患者）'!$CC$3,COUNTIFS('記載様式（入院患者）'!$K:$K,"陽性",'記載様式（入院患者）'!$L:$L,V2),"")</f>
        <v>#VALUE!</v>
      </c>
      <c r="W15" s="73" t="e">
        <f>IF(W2&lt;='記載様式（入院患者）'!$CC$3,COUNTIFS('記載様式（入院患者）'!$K:$K,"陽性",'記載様式（入院患者）'!$L:$L,W2),"")</f>
        <v>#VALUE!</v>
      </c>
      <c r="X15" s="73" t="e">
        <f>IF(X2&lt;='記載様式（入院患者）'!$CC$3,COUNTIFS('記載様式（入院患者）'!$K:$K,"陽性",'記載様式（入院患者）'!$L:$L,X2),"")</f>
        <v>#VALUE!</v>
      </c>
      <c r="Y15" s="73" t="e">
        <f>IF(Y2&lt;='記載様式（入院患者）'!$CC$3,COUNTIFS('記載様式（入院患者）'!$K:$K,"陽性",'記載様式（入院患者）'!$L:$L,Y2),"")</f>
        <v>#VALUE!</v>
      </c>
      <c r="Z15" s="73" t="e">
        <f>IF(Z2&lt;='記載様式（入院患者）'!$CC$3,COUNTIFS('記載様式（入院患者）'!$K:$K,"陽性",'記載様式（入院患者）'!$L:$L,Z2),"")</f>
        <v>#VALUE!</v>
      </c>
      <c r="AA15" s="73" t="e">
        <f>IF(AA2&lt;='記載様式（入院患者）'!$CC$3,COUNTIFS('記載様式（入院患者）'!$K:$K,"陽性",'記載様式（入院患者）'!$L:$L,AA2),"")</f>
        <v>#VALUE!</v>
      </c>
      <c r="AB15" s="73" t="e">
        <f>IF(AB2&lt;='記載様式（入院患者）'!$CC$3,COUNTIFS('記載様式（入院患者）'!$K:$K,"陽性",'記載様式（入院患者）'!$L:$L,AB2),"")</f>
        <v>#VALUE!</v>
      </c>
      <c r="AC15" s="73" t="e">
        <f>IF(AC2&lt;='記載様式（入院患者）'!$CC$3,COUNTIFS('記載様式（入院患者）'!$K:$K,"陽性",'記載様式（入院患者）'!$L:$L,AC2),"")</f>
        <v>#VALUE!</v>
      </c>
      <c r="AD15" s="73" t="e">
        <f>IF(AD2&lt;='記載様式（入院患者）'!$CC$3,COUNTIFS('記載様式（入院患者）'!$K:$K,"陽性",'記載様式（入院患者）'!$L:$L,AD2),"")</f>
        <v>#VALUE!</v>
      </c>
      <c r="AE15" s="73" t="e">
        <f>IF(AE2&lt;='記載様式（入院患者）'!$CC$3,COUNTIFS('記載様式（入院患者）'!$K:$K,"陽性",'記載様式（入院患者）'!$L:$L,AE2),"")</f>
        <v>#VALUE!</v>
      </c>
      <c r="AF15" s="73" t="e">
        <f>IF(AF2&lt;='記載様式（入院患者）'!$CC$3,COUNTIFS('記載様式（入院患者）'!$K:$K,"陽性",'記載様式（入院患者）'!$L:$L,AF2),"")</f>
        <v>#VALUE!</v>
      </c>
      <c r="AG15" s="73" t="e">
        <f>IF(AG2&lt;='記載様式（入院患者）'!$CC$3,COUNTIFS('記載様式（入院患者）'!$K:$K,"陽性",'記載様式（入院患者）'!$L:$L,AG2),"")</f>
        <v>#VALUE!</v>
      </c>
      <c r="AH15" s="73" t="e">
        <f>IF(AH2&lt;='記載様式（入院患者）'!$CC$3,COUNTIFS('記載様式（入院患者）'!$K:$K,"陽性",'記載様式（入院患者）'!$L:$L,AH2),"")</f>
        <v>#VALUE!</v>
      </c>
      <c r="AI15" s="73" t="e">
        <f>IF(AI2&lt;='記載様式（入院患者）'!$CC$3,COUNTIFS('記載様式（入院患者）'!$K:$K,"陽性",'記載様式（入院患者）'!$L:$L,AI2),"")</f>
        <v>#VALUE!</v>
      </c>
      <c r="AJ15" s="73" t="e">
        <f>IF(AJ2&lt;='記載様式（入院患者）'!$CC$3,COUNTIFS('記載様式（入院患者）'!$K:$K,"陽性",'記載様式（入院患者）'!$L:$L,AJ2),"")</f>
        <v>#VALUE!</v>
      </c>
      <c r="AK15" s="73" t="e">
        <f>IF(AK2&lt;='記載様式（入院患者）'!$CC$3,COUNTIFS('記載様式（入院患者）'!$K:$K,"陽性",'記載様式（入院患者）'!$L:$L,AK2),"")</f>
        <v>#VALUE!</v>
      </c>
      <c r="AL15" s="73" t="e">
        <f>IF(AL2&lt;='記載様式（入院患者）'!$CC$3,COUNTIFS('記載様式（入院患者）'!$K:$K,"陽性",'記載様式（入院患者）'!$L:$L,AL2),"")</f>
        <v>#VALUE!</v>
      </c>
      <c r="AM15" s="73" t="e">
        <f>IF(AM2&lt;='記載様式（入院患者）'!$CC$3,COUNTIFS('記載様式（入院患者）'!$K:$K,"陽性",'記載様式（入院患者）'!$L:$L,AM2),"")</f>
        <v>#VALUE!</v>
      </c>
      <c r="AN15" s="73" t="e">
        <f>IF(AN2&lt;='記載様式（入院患者）'!$CC$3,COUNTIFS('記載様式（入院患者）'!$K:$K,"陽性",'記載様式（入院患者）'!$L:$L,AN2),"")</f>
        <v>#VALUE!</v>
      </c>
      <c r="AO15" s="73" t="e">
        <f>IF(AO2&lt;='記載様式（入院患者）'!$CC$3,COUNTIFS('記載様式（入院患者）'!$K:$K,"陽性",'記載様式（入院患者）'!$L:$L,AO2),"")</f>
        <v>#VALUE!</v>
      </c>
      <c r="AP15" s="73" t="e">
        <f>IF(AP2&lt;='記載様式（入院患者）'!$CC$3,COUNTIFS('記載様式（入院患者）'!$K:$K,"陽性",'記載様式（入院患者）'!$L:$L,AP2),"")</f>
        <v>#VALUE!</v>
      </c>
      <c r="AQ15" s="73" t="e">
        <f>IF(AQ2&lt;='記載様式（入院患者）'!$CC$3,COUNTIFS('記載様式（入院患者）'!$K:$K,"陽性",'記載様式（入院患者）'!$L:$L,AQ2),"")</f>
        <v>#VALUE!</v>
      </c>
      <c r="AR15" s="73" t="e">
        <f>IF(AR2&lt;='記載様式（入院患者）'!$CC$3,COUNTIFS('記載様式（入院患者）'!$K:$K,"陽性",'記載様式（入院患者）'!$L:$L,AR2),"")</f>
        <v>#VALUE!</v>
      </c>
      <c r="AS15" s="73" t="e">
        <f>IF(AS2&lt;='記載様式（入院患者）'!$CC$3,COUNTIFS('記載様式（入院患者）'!$K:$K,"陽性",'記載様式（入院患者）'!$L:$L,AS2),"")</f>
        <v>#VALUE!</v>
      </c>
      <c r="AT15" s="73" t="e">
        <f>IF(AT2&lt;='記載様式（入院患者）'!$CC$3,COUNTIFS('記載様式（入院患者）'!$K:$K,"陽性",'記載様式（入院患者）'!$L:$L,AT2),"")</f>
        <v>#VALUE!</v>
      </c>
      <c r="AU15" s="73" t="e">
        <f>IF(AU2&lt;='記載様式（入院患者）'!$CC$3,COUNTIFS('記載様式（入院患者）'!$K:$K,"陽性",'記載様式（入院患者）'!$L:$L,AU2),"")</f>
        <v>#VALUE!</v>
      </c>
      <c r="AV15" s="73" t="e">
        <f>IF(AV2&lt;='記載様式（入院患者）'!$CC$3,COUNTIFS('記載様式（入院患者）'!$K:$K,"陽性",'記載様式（入院患者）'!$L:$L,AV2),"")</f>
        <v>#VALUE!</v>
      </c>
      <c r="AW15" s="73" t="e">
        <f>IF(AW2&lt;='記載様式（入院患者）'!$CC$3,COUNTIFS('記載様式（入院患者）'!$K:$K,"陽性",'記載様式（入院患者）'!$L:$L,AW2),"")</f>
        <v>#VALUE!</v>
      </c>
      <c r="AX15" s="73" t="e">
        <f>IF(AX2&lt;='記載様式（入院患者）'!$CC$3,COUNTIFS('記載様式（入院患者）'!$K:$K,"陽性",'記載様式（入院患者）'!$L:$L,AX2),"")</f>
        <v>#VALUE!</v>
      </c>
      <c r="AY15" s="73" t="e">
        <f>IF(AY2&lt;='記載様式（入院患者）'!$CC$3,COUNTIFS('記載様式（入院患者）'!$K:$K,"陽性",'記載様式（入院患者）'!$L:$L,AY2),"")</f>
        <v>#VALUE!</v>
      </c>
      <c r="AZ15" s="73" t="e">
        <f>IF(AZ2&lt;='記載様式（入院患者）'!$CC$3,COUNTIFS('記載様式（入院患者）'!$K:$K,"陽性",'記載様式（入院患者）'!$L:$L,AZ2),"")</f>
        <v>#VALUE!</v>
      </c>
      <c r="BA15" s="73" t="e">
        <f>IF(BA2&lt;='記載様式（入院患者）'!$CC$3,COUNTIFS('記載様式（入院患者）'!$K:$K,"陽性",'記載様式（入院患者）'!$L:$L,BA2),"")</f>
        <v>#VALUE!</v>
      </c>
      <c r="BB15" s="73" t="e">
        <f>IF(BB2&lt;='記載様式（入院患者）'!$CC$3,COUNTIFS('記載様式（入院患者）'!$K:$K,"陽性",'記載様式（入院患者）'!$L:$L,BB2),"")</f>
        <v>#VALUE!</v>
      </c>
      <c r="BC15" s="73" t="e">
        <f>IF(BC2&lt;='記載様式（入院患者）'!$CC$3,COUNTIFS('記載様式（入院患者）'!$K:$K,"陽性",'記載様式（入院患者）'!$L:$L,BC2),"")</f>
        <v>#VALUE!</v>
      </c>
      <c r="BD15" s="73" t="e">
        <f>IF(BD2&lt;='記載様式（入院患者）'!$CC$3,COUNTIFS('記載様式（入院患者）'!$K:$K,"陽性",'記載様式（入院患者）'!$L:$L,BD2),"")</f>
        <v>#VALUE!</v>
      </c>
      <c r="BE15" s="73" t="e">
        <f>IF(BE2&lt;='記載様式（入院患者）'!$CC$3,COUNTIFS('記載様式（入院患者）'!$K:$K,"陽性",'記載様式（入院患者）'!$L:$L,BE2),"")</f>
        <v>#VALUE!</v>
      </c>
      <c r="BF15" s="73" t="e">
        <f>IF(BF2&lt;='記載様式（入院患者）'!$CC$3,COUNTIFS('記載様式（入院患者）'!$K:$K,"陽性",'記載様式（入院患者）'!$L:$L,BF2),"")</f>
        <v>#VALUE!</v>
      </c>
      <c r="BG15" s="73" t="e">
        <f>IF(BG2&lt;='記載様式（入院患者）'!$CC$3,COUNTIFS('記載様式（入院患者）'!$K:$K,"陽性",'記載様式（入院患者）'!$L:$L,BG2),"")</f>
        <v>#VALUE!</v>
      </c>
      <c r="BH15" s="73" t="e">
        <f>IF(BH2&lt;='記載様式（入院患者）'!$CC$3,COUNTIFS('記載様式（入院患者）'!$K:$K,"陽性",'記載様式（入院患者）'!$L:$L,BH2),"")</f>
        <v>#VALUE!</v>
      </c>
      <c r="BI15" s="73" t="e">
        <f>IF(BI2&lt;='記載様式（入院患者）'!$CC$3,COUNTIFS('記載様式（入院患者）'!$K:$K,"陽性",'記載様式（入院患者）'!$L:$L,BI2),"")</f>
        <v>#VALUE!</v>
      </c>
      <c r="BJ15" s="74" t="e">
        <f>IF(BJ2&lt;='記載様式（入院患者）'!$CC$3,COUNTIFS('記載様式（入院患者）'!$K:$K,"陽性",'記載様式（入院患者）'!$L:$L,BJ2),"")</f>
        <v>#VALUE!</v>
      </c>
      <c r="BK15" s="19"/>
    </row>
    <row r="16" spans="1:63" ht="20.100000000000001" customHeight="1" x14ac:dyDescent="0.15">
      <c r="A16" s="56" t="s">
        <v>65</v>
      </c>
      <c r="B16" s="82" t="e">
        <f>SUM(C16:BI16)</f>
        <v>#VALUE!</v>
      </c>
      <c r="C16" s="75" t="e">
        <f>IF(C2&lt;='記載様式（入院患者）'!$CC$3,COUNTIFS('記載様式（職員）'!$K:$K,"陽性",'記載様式（職員）'!$L:$L,C2),"")</f>
        <v>#VALUE!</v>
      </c>
      <c r="D16" s="44" t="e">
        <f>IF(D2&lt;='記載様式（入院患者）'!$CC$3,COUNTIFS('記載様式（職員）'!$K:$K,"陽性",'記載様式（職員）'!$L:$L,D2),"")</f>
        <v>#VALUE!</v>
      </c>
      <c r="E16" s="44" t="e">
        <f>IF(E2&lt;='記載様式（入院患者）'!$CC$3,COUNTIFS('記載様式（職員）'!$K:$K,"陽性",'記載様式（職員）'!$L:$L,E2),"")</f>
        <v>#VALUE!</v>
      </c>
      <c r="F16" s="44" t="e">
        <f>IF(F2&lt;='記載様式（入院患者）'!$CC$3,COUNTIFS('記載様式（職員）'!$K:$K,"陽性",'記載様式（職員）'!$L:$L,F2),"")</f>
        <v>#VALUE!</v>
      </c>
      <c r="G16" s="44" t="e">
        <f>IF(G2&lt;='記載様式（入院患者）'!$CC$3,COUNTIFS('記載様式（職員）'!$K:$K,"陽性",'記載様式（職員）'!$L:$L,G2),"")</f>
        <v>#VALUE!</v>
      </c>
      <c r="H16" s="44" t="e">
        <f>IF(H2&lt;='記載様式（入院患者）'!$CC$3,COUNTIFS('記載様式（職員）'!$K:$K,"陽性",'記載様式（職員）'!$L:$L,H2),"")</f>
        <v>#VALUE!</v>
      </c>
      <c r="I16" s="44" t="e">
        <f>IF(I2&lt;='記載様式（入院患者）'!$CC$3,COUNTIFS('記載様式（職員）'!$K:$K,"陽性",'記載様式（職員）'!$L:$L,I2),"")</f>
        <v>#VALUE!</v>
      </c>
      <c r="J16" s="44" t="e">
        <f>IF(J2&lt;='記載様式（入院患者）'!$CC$3,COUNTIFS('記載様式（職員）'!$K:$K,"陽性",'記載様式（職員）'!$L:$L,J2),"")</f>
        <v>#VALUE!</v>
      </c>
      <c r="K16" s="44" t="e">
        <f>IF(K2&lt;='記載様式（入院患者）'!$CC$3,COUNTIFS('記載様式（職員）'!$K:$K,"陽性",'記載様式（職員）'!$L:$L,K2),"")</f>
        <v>#VALUE!</v>
      </c>
      <c r="L16" s="44" t="e">
        <f>IF(L2&lt;='記載様式（入院患者）'!$CC$3,COUNTIFS('記載様式（職員）'!$K:$K,"陽性",'記載様式（職員）'!$L:$L,L2),"")</f>
        <v>#VALUE!</v>
      </c>
      <c r="M16" s="44" t="e">
        <f>IF(M2&lt;='記載様式（入院患者）'!$CC$3,COUNTIFS('記載様式（職員）'!$K:$K,"陽性",'記載様式（職員）'!$L:$L,M2),"")</f>
        <v>#VALUE!</v>
      </c>
      <c r="N16" s="44" t="e">
        <f>IF(N2&lt;='記載様式（入院患者）'!$CC$3,COUNTIFS('記載様式（職員）'!$K:$K,"陽性",'記載様式（職員）'!$L:$L,N2),"")</f>
        <v>#VALUE!</v>
      </c>
      <c r="O16" s="44" t="e">
        <f>IF(O2&lt;='記載様式（入院患者）'!$CC$3,COUNTIFS('記載様式（職員）'!$K:$K,"陽性",'記載様式（職員）'!$L:$L,O2),"")</f>
        <v>#VALUE!</v>
      </c>
      <c r="P16" s="44" t="e">
        <f>IF(P2&lt;='記載様式（入院患者）'!$CC$3,COUNTIFS('記載様式（職員）'!$K:$K,"陽性",'記載様式（職員）'!$L:$L,P2),"")</f>
        <v>#VALUE!</v>
      </c>
      <c r="Q16" s="44" t="e">
        <f>IF(Q2&lt;='記載様式（入院患者）'!$CC$3,COUNTIFS('記載様式（職員）'!$K:$K,"陽性",'記載様式（職員）'!$L:$L,Q2),"")</f>
        <v>#VALUE!</v>
      </c>
      <c r="R16" s="44" t="e">
        <f>IF(R2&lt;='記載様式（入院患者）'!$CC$3,COUNTIFS('記載様式（職員）'!$K:$K,"陽性",'記載様式（職員）'!$L:$L,R2),"")</f>
        <v>#VALUE!</v>
      </c>
      <c r="S16" s="44" t="e">
        <f>IF(S2&lt;='記載様式（入院患者）'!$CC$3,COUNTIFS('記載様式（職員）'!$K:$K,"陽性",'記載様式（職員）'!$L:$L,S2),"")</f>
        <v>#VALUE!</v>
      </c>
      <c r="T16" s="44" t="e">
        <f>IF(T2&lt;='記載様式（入院患者）'!$CC$3,COUNTIFS('記載様式（職員）'!$K:$K,"陽性",'記載様式（職員）'!$L:$L,T2),"")</f>
        <v>#VALUE!</v>
      </c>
      <c r="U16" s="44" t="e">
        <f>IF(U2&lt;='記載様式（入院患者）'!$CC$3,COUNTIFS('記載様式（職員）'!$K:$K,"陽性",'記載様式（職員）'!$L:$L,U2),"")</f>
        <v>#VALUE!</v>
      </c>
      <c r="V16" s="44" t="e">
        <f>IF(V2&lt;='記載様式（入院患者）'!$CC$3,COUNTIFS('記載様式（職員）'!$K:$K,"陽性",'記載様式（職員）'!$L:$L,V2),"")</f>
        <v>#VALUE!</v>
      </c>
      <c r="W16" s="44" t="e">
        <f>IF(W2&lt;='記載様式（入院患者）'!$CC$3,COUNTIFS('記載様式（職員）'!$K:$K,"陽性",'記載様式（職員）'!$L:$L,W2),"")</f>
        <v>#VALUE!</v>
      </c>
      <c r="X16" s="44" t="e">
        <f>IF(X2&lt;='記載様式（入院患者）'!$CC$3,COUNTIFS('記載様式（職員）'!$K:$K,"陽性",'記載様式（職員）'!$L:$L,X2),"")</f>
        <v>#VALUE!</v>
      </c>
      <c r="Y16" s="44" t="e">
        <f>IF(Y2&lt;='記載様式（入院患者）'!$CC$3,COUNTIFS('記載様式（職員）'!$K:$K,"陽性",'記載様式（職員）'!$L:$L,Y2),"")</f>
        <v>#VALUE!</v>
      </c>
      <c r="Z16" s="44" t="e">
        <f>IF(Z2&lt;='記載様式（入院患者）'!$CC$3,COUNTIFS('記載様式（職員）'!$K:$K,"陽性",'記載様式（職員）'!$L:$L,Z2),"")</f>
        <v>#VALUE!</v>
      </c>
      <c r="AA16" s="44" t="e">
        <f>IF(AA2&lt;='記載様式（入院患者）'!$CC$3,COUNTIFS('記載様式（職員）'!$K:$K,"陽性",'記載様式（職員）'!$L:$L,AA2),"")</f>
        <v>#VALUE!</v>
      </c>
      <c r="AB16" s="44" t="e">
        <f>IF(AB2&lt;='記載様式（入院患者）'!$CC$3,COUNTIFS('記載様式（職員）'!$K:$K,"陽性",'記載様式（職員）'!$L:$L,AB2),"")</f>
        <v>#VALUE!</v>
      </c>
      <c r="AC16" s="44" t="e">
        <f>IF(AC2&lt;='記載様式（入院患者）'!$CC$3,COUNTIFS('記載様式（職員）'!$K:$K,"陽性",'記載様式（職員）'!$L:$L,AC2),"")</f>
        <v>#VALUE!</v>
      </c>
      <c r="AD16" s="44" t="e">
        <f>IF(AD2&lt;='記載様式（入院患者）'!$CC$3,COUNTIFS('記載様式（職員）'!$K:$K,"陽性",'記載様式（職員）'!$L:$L,AD2),"")</f>
        <v>#VALUE!</v>
      </c>
      <c r="AE16" s="44" t="e">
        <f>IF(AE2&lt;='記載様式（入院患者）'!$CC$3,COUNTIFS('記載様式（職員）'!$K:$K,"陽性",'記載様式（職員）'!$L:$L,AE2),"")</f>
        <v>#VALUE!</v>
      </c>
      <c r="AF16" s="44" t="e">
        <f>IF(AF2&lt;='記載様式（入院患者）'!$CC$3,COUNTIFS('記載様式（職員）'!$K:$K,"陽性",'記載様式（職員）'!$L:$L,AF2),"")</f>
        <v>#VALUE!</v>
      </c>
      <c r="AG16" s="44" t="e">
        <f>IF(AG2&lt;='記載様式（入院患者）'!$CC$3,COUNTIFS('記載様式（職員）'!$K:$K,"陽性",'記載様式（職員）'!$L:$L,AG2),"")</f>
        <v>#VALUE!</v>
      </c>
      <c r="AH16" s="44" t="e">
        <f>IF(AH2&lt;='記載様式（入院患者）'!$CC$3,COUNTIFS('記載様式（職員）'!$K:$K,"陽性",'記載様式（職員）'!$L:$L,AH2),"")</f>
        <v>#VALUE!</v>
      </c>
      <c r="AI16" s="44" t="e">
        <f>IF(AI2&lt;='記載様式（入院患者）'!$CC$3,COUNTIFS('記載様式（職員）'!$K:$K,"陽性",'記載様式（職員）'!$L:$L,AI2),"")</f>
        <v>#VALUE!</v>
      </c>
      <c r="AJ16" s="44" t="e">
        <f>IF(AJ2&lt;='記載様式（入院患者）'!$CC$3,COUNTIFS('記載様式（職員）'!$K:$K,"陽性",'記載様式（職員）'!$L:$L,AJ2),"")</f>
        <v>#VALUE!</v>
      </c>
      <c r="AK16" s="44" t="e">
        <f>IF(AK2&lt;='記載様式（入院患者）'!$CC$3,COUNTIFS('記載様式（職員）'!$K:$K,"陽性",'記載様式（職員）'!$L:$L,AK2),"")</f>
        <v>#VALUE!</v>
      </c>
      <c r="AL16" s="44" t="e">
        <f>IF(AL2&lt;='記載様式（入院患者）'!$CC$3,COUNTIFS('記載様式（職員）'!$K:$K,"陽性",'記載様式（職員）'!$L:$L,AL2),"")</f>
        <v>#VALUE!</v>
      </c>
      <c r="AM16" s="44" t="e">
        <f>IF(AM2&lt;='記載様式（入院患者）'!$CC$3,COUNTIFS('記載様式（職員）'!$K:$K,"陽性",'記載様式（職員）'!$L:$L,AM2),"")</f>
        <v>#VALUE!</v>
      </c>
      <c r="AN16" s="44" t="e">
        <f>IF(AN2&lt;='記載様式（入院患者）'!$CC$3,COUNTIFS('記載様式（職員）'!$K:$K,"陽性",'記載様式（職員）'!$L:$L,AN2),"")</f>
        <v>#VALUE!</v>
      </c>
      <c r="AO16" s="44" t="e">
        <f>IF(AO2&lt;='記載様式（入院患者）'!$CC$3,COUNTIFS('記載様式（職員）'!$K:$K,"陽性",'記載様式（職員）'!$L:$L,AO2),"")</f>
        <v>#VALUE!</v>
      </c>
      <c r="AP16" s="44" t="e">
        <f>IF(AP2&lt;='記載様式（入院患者）'!$CC$3,COUNTIFS('記載様式（職員）'!$K:$K,"陽性",'記載様式（職員）'!$L:$L,AP2),"")</f>
        <v>#VALUE!</v>
      </c>
      <c r="AQ16" s="44" t="e">
        <f>IF(AQ2&lt;='記載様式（入院患者）'!$CC$3,COUNTIFS('記載様式（職員）'!$K:$K,"陽性",'記載様式（職員）'!$L:$L,AQ2),"")</f>
        <v>#VALUE!</v>
      </c>
      <c r="AR16" s="44" t="e">
        <f>IF(AR2&lt;='記載様式（入院患者）'!$CC$3,COUNTIFS('記載様式（職員）'!$K:$K,"陽性",'記載様式（職員）'!$L:$L,AR2),"")</f>
        <v>#VALUE!</v>
      </c>
      <c r="AS16" s="44" t="e">
        <f>IF(AS2&lt;='記載様式（入院患者）'!$CC$3,COUNTIFS('記載様式（職員）'!$K:$K,"陽性",'記載様式（職員）'!$L:$L,AS2),"")</f>
        <v>#VALUE!</v>
      </c>
      <c r="AT16" s="44" t="e">
        <f>IF(AT2&lt;='記載様式（入院患者）'!$CC$3,COUNTIFS('記載様式（職員）'!$K:$K,"陽性",'記載様式（職員）'!$L:$L,AT2),"")</f>
        <v>#VALUE!</v>
      </c>
      <c r="AU16" s="44" t="e">
        <f>IF(AU2&lt;='記載様式（入院患者）'!$CC$3,COUNTIFS('記載様式（職員）'!$K:$K,"陽性",'記載様式（職員）'!$L:$L,AU2),"")</f>
        <v>#VALUE!</v>
      </c>
      <c r="AV16" s="44" t="e">
        <f>IF(AV2&lt;='記載様式（入院患者）'!$CC$3,COUNTIFS('記載様式（職員）'!$K:$K,"陽性",'記載様式（職員）'!$L:$L,AV2),"")</f>
        <v>#VALUE!</v>
      </c>
      <c r="AW16" s="44" t="e">
        <f>IF(AW2&lt;='記載様式（入院患者）'!$CC$3,COUNTIFS('記載様式（職員）'!$K:$K,"陽性",'記載様式（職員）'!$L:$L,AW2),"")</f>
        <v>#VALUE!</v>
      </c>
      <c r="AX16" s="44" t="e">
        <f>IF(AX2&lt;='記載様式（入院患者）'!$CC$3,COUNTIFS('記載様式（職員）'!$K:$K,"陽性",'記載様式（職員）'!$L:$L,AX2),"")</f>
        <v>#VALUE!</v>
      </c>
      <c r="AY16" s="44" t="e">
        <f>IF(AY2&lt;='記載様式（入院患者）'!$CC$3,COUNTIFS('記載様式（職員）'!$K:$K,"陽性",'記載様式（職員）'!$L:$L,AY2),"")</f>
        <v>#VALUE!</v>
      </c>
      <c r="AZ16" s="44" t="e">
        <f>IF(AZ2&lt;='記載様式（入院患者）'!$CC$3,COUNTIFS('記載様式（職員）'!$K:$K,"陽性",'記載様式（職員）'!$L:$L,AZ2),"")</f>
        <v>#VALUE!</v>
      </c>
      <c r="BA16" s="44" t="e">
        <f>IF(BA2&lt;='記載様式（入院患者）'!$CC$3,COUNTIFS('記載様式（職員）'!$K:$K,"陽性",'記載様式（職員）'!$L:$L,BA2),"")</f>
        <v>#VALUE!</v>
      </c>
      <c r="BB16" s="44" t="e">
        <f>IF(BB2&lt;='記載様式（入院患者）'!$CC$3,COUNTIFS('記載様式（職員）'!$K:$K,"陽性",'記載様式（職員）'!$L:$L,BB2),"")</f>
        <v>#VALUE!</v>
      </c>
      <c r="BC16" s="44" t="e">
        <f>IF(BC2&lt;='記載様式（入院患者）'!$CC$3,COUNTIFS('記載様式（職員）'!$K:$K,"陽性",'記載様式（職員）'!$L:$L,BC2),"")</f>
        <v>#VALUE!</v>
      </c>
      <c r="BD16" s="44" t="e">
        <f>IF(BD2&lt;='記載様式（入院患者）'!$CC$3,COUNTIFS('記載様式（職員）'!$K:$K,"陽性",'記載様式（職員）'!$L:$L,BD2),"")</f>
        <v>#VALUE!</v>
      </c>
      <c r="BE16" s="44" t="e">
        <f>IF(BE2&lt;='記載様式（入院患者）'!$CC$3,COUNTIFS('記載様式（職員）'!$K:$K,"陽性",'記載様式（職員）'!$L:$L,BE2),"")</f>
        <v>#VALUE!</v>
      </c>
      <c r="BF16" s="44" t="e">
        <f>IF(BF2&lt;='記載様式（入院患者）'!$CC$3,COUNTIFS('記載様式（職員）'!$K:$K,"陽性",'記載様式（職員）'!$L:$L,BF2),"")</f>
        <v>#VALUE!</v>
      </c>
      <c r="BG16" s="44" t="e">
        <f>IF(BG2&lt;='記載様式（入院患者）'!$CC$3,COUNTIFS('記載様式（職員）'!$K:$K,"陽性",'記載様式（職員）'!$L:$L,BG2),"")</f>
        <v>#VALUE!</v>
      </c>
      <c r="BH16" s="44" t="e">
        <f>IF(BH2&lt;='記載様式（入院患者）'!$CC$3,COUNTIFS('記載様式（職員）'!$K:$K,"陽性",'記載様式（職員）'!$L:$L,BH2),"")</f>
        <v>#VALUE!</v>
      </c>
      <c r="BI16" s="44" t="e">
        <f>IF(BI2&lt;='記載様式（入院患者）'!$CC$3,COUNTIFS('記載様式（職員）'!$K:$K,"陽性",'記載様式（職員）'!$L:$L,BI2),"")</f>
        <v>#VALUE!</v>
      </c>
      <c r="BJ16" s="71" t="e">
        <f>IF(BJ2&lt;='記載様式（入院患者）'!$CC$3,COUNTIFS('記載様式（職員）'!$K:$K,"陽性",'記載様式（職員）'!$L:$L,BJ2),"")</f>
        <v>#VALUE!</v>
      </c>
      <c r="BK16" s="19"/>
    </row>
    <row r="17" spans="1:63" ht="20.100000000000001" customHeight="1" thickBot="1" x14ac:dyDescent="0.2">
      <c r="A17" s="57" t="s">
        <v>66</v>
      </c>
      <c r="B17" s="83" t="e">
        <f>SUM(C17:BI17)</f>
        <v>#VALUE!</v>
      </c>
      <c r="C17" s="76" t="e">
        <f>IF(C14&lt;='記載様式（入院患者）'!$CC$3,C15+C16,"")</f>
        <v>#VALUE!</v>
      </c>
      <c r="D17" s="77" t="e">
        <f>IF(D14&lt;='記載様式（入院患者）'!$CC$3,D15+D16,"")</f>
        <v>#VALUE!</v>
      </c>
      <c r="E17" s="77" t="e">
        <f>IF(E14&lt;='記載様式（入院患者）'!$CC$3,E15+E16,"")</f>
        <v>#VALUE!</v>
      </c>
      <c r="F17" s="77" t="e">
        <f>IF(F14&lt;='記載様式（入院患者）'!$CC$3,F15+F16,"")</f>
        <v>#VALUE!</v>
      </c>
      <c r="G17" s="77" t="e">
        <f>IF(G14&lt;='記載様式（入院患者）'!$CC$3,G15+G16,"")</f>
        <v>#VALUE!</v>
      </c>
      <c r="H17" s="77" t="e">
        <f>IF(H14&lt;='記載様式（入院患者）'!$CC$3,H15+H16,"")</f>
        <v>#VALUE!</v>
      </c>
      <c r="I17" s="77" t="e">
        <f>IF(I14&lt;='記載様式（入院患者）'!$CC$3,I15+I16,"")</f>
        <v>#VALUE!</v>
      </c>
      <c r="J17" s="77" t="e">
        <f>IF(J14&lt;='記載様式（入院患者）'!$CC$3,J15+J16,"")</f>
        <v>#VALUE!</v>
      </c>
      <c r="K17" s="77" t="e">
        <f>IF(K14&lt;='記載様式（入院患者）'!$CC$3,K15+K16,"")</f>
        <v>#VALUE!</v>
      </c>
      <c r="L17" s="77" t="e">
        <f>IF(L14&lt;='記載様式（入院患者）'!$CC$3,L15+L16,"")</f>
        <v>#VALUE!</v>
      </c>
      <c r="M17" s="77" t="e">
        <f>IF(M14&lt;='記載様式（入院患者）'!$CC$3,M15+M16,"")</f>
        <v>#VALUE!</v>
      </c>
      <c r="N17" s="77" t="e">
        <f>IF(N14&lt;='記載様式（入院患者）'!$CC$3,N15+N16,"")</f>
        <v>#VALUE!</v>
      </c>
      <c r="O17" s="77" t="e">
        <f>IF(O14&lt;='記載様式（入院患者）'!$CC$3,O15+O16,"")</f>
        <v>#VALUE!</v>
      </c>
      <c r="P17" s="77" t="e">
        <f>IF(P14&lt;='記載様式（入院患者）'!$CC$3,P15+P16,"")</f>
        <v>#VALUE!</v>
      </c>
      <c r="Q17" s="77" t="e">
        <f>IF(Q14&lt;='記載様式（入院患者）'!$CC$3,Q15+Q16,"")</f>
        <v>#VALUE!</v>
      </c>
      <c r="R17" s="77" t="e">
        <f>IF(R14&lt;='記載様式（入院患者）'!$CC$3,R15+R16,"")</f>
        <v>#VALUE!</v>
      </c>
      <c r="S17" s="77" t="e">
        <f>IF(S14&lt;='記載様式（入院患者）'!$CC$3,S15+S16,"")</f>
        <v>#VALUE!</v>
      </c>
      <c r="T17" s="77" t="e">
        <f>IF(T14&lt;='記載様式（入院患者）'!$CC$3,T15+T16,"")</f>
        <v>#VALUE!</v>
      </c>
      <c r="U17" s="77" t="e">
        <f>IF(U14&lt;='記載様式（入院患者）'!$CC$3,U15+U16,"")</f>
        <v>#VALUE!</v>
      </c>
      <c r="V17" s="77" t="e">
        <f>IF(V14&lt;='記載様式（入院患者）'!$CC$3,V15+V16,"")</f>
        <v>#VALUE!</v>
      </c>
      <c r="W17" s="77" t="e">
        <f>IF(W14&lt;='記載様式（入院患者）'!$CC$3,W15+W16,"")</f>
        <v>#VALUE!</v>
      </c>
      <c r="X17" s="77" t="e">
        <f>IF(X14&lt;='記載様式（入院患者）'!$CC$3,X15+X16,"")</f>
        <v>#VALUE!</v>
      </c>
      <c r="Y17" s="77" t="e">
        <f>IF(Y14&lt;='記載様式（入院患者）'!$CC$3,Y15+Y16,"")</f>
        <v>#VALUE!</v>
      </c>
      <c r="Z17" s="77" t="e">
        <f>IF(Z14&lt;='記載様式（入院患者）'!$CC$3,Z15+Z16,"")</f>
        <v>#VALUE!</v>
      </c>
      <c r="AA17" s="77" t="e">
        <f>IF(AA14&lt;='記載様式（入院患者）'!$CC$3,AA15+AA16,"")</f>
        <v>#VALUE!</v>
      </c>
      <c r="AB17" s="77" t="e">
        <f>IF(AB14&lt;='記載様式（入院患者）'!$CC$3,AB15+AB16,"")</f>
        <v>#VALUE!</v>
      </c>
      <c r="AC17" s="77" t="e">
        <f>IF(AC14&lt;='記載様式（入院患者）'!$CC$3,AC15+AC16,"")</f>
        <v>#VALUE!</v>
      </c>
      <c r="AD17" s="77" t="e">
        <f>IF(AD14&lt;='記載様式（入院患者）'!$CC$3,AD15+AD16,"")</f>
        <v>#VALUE!</v>
      </c>
      <c r="AE17" s="77" t="e">
        <f>IF(AE14&lt;='記載様式（入院患者）'!$CC$3,AE15+AE16,"")</f>
        <v>#VALUE!</v>
      </c>
      <c r="AF17" s="77" t="e">
        <f>IF(AF14&lt;='記載様式（入院患者）'!$CC$3,AF15+AF16,"")</f>
        <v>#VALUE!</v>
      </c>
      <c r="AG17" s="77" t="e">
        <f>IF(AG14&lt;='記載様式（入院患者）'!$CC$3,AG15+AG16,"")</f>
        <v>#VALUE!</v>
      </c>
      <c r="AH17" s="77" t="e">
        <f>IF(AH14&lt;='記載様式（入院患者）'!$CC$3,AH15+AH16,"")</f>
        <v>#VALUE!</v>
      </c>
      <c r="AI17" s="77" t="e">
        <f>IF(AI14&lt;='記載様式（入院患者）'!$CC$3,AI15+AI16,"")</f>
        <v>#VALUE!</v>
      </c>
      <c r="AJ17" s="77" t="e">
        <f>IF(AJ14&lt;='記載様式（入院患者）'!$CC$3,AJ15+AJ16,"")</f>
        <v>#VALUE!</v>
      </c>
      <c r="AK17" s="77" t="e">
        <f>IF(AK14&lt;='記載様式（入院患者）'!$CC$3,AK15+AK16,"")</f>
        <v>#VALUE!</v>
      </c>
      <c r="AL17" s="77" t="e">
        <f>IF(AL14&lt;='記載様式（入院患者）'!$CC$3,AL15+AL16,"")</f>
        <v>#VALUE!</v>
      </c>
      <c r="AM17" s="77" t="e">
        <f>IF(AM14&lt;='記載様式（入院患者）'!$CC$3,AM15+AM16,"")</f>
        <v>#VALUE!</v>
      </c>
      <c r="AN17" s="77" t="e">
        <f>IF(AN14&lt;='記載様式（入院患者）'!$CC$3,AN15+AN16,"")</f>
        <v>#VALUE!</v>
      </c>
      <c r="AO17" s="77" t="e">
        <f>IF(AO14&lt;='記載様式（入院患者）'!$CC$3,AO15+AO16,"")</f>
        <v>#VALUE!</v>
      </c>
      <c r="AP17" s="77" t="e">
        <f>IF(AP14&lt;='記載様式（入院患者）'!$CC$3,AP15+AP16,"")</f>
        <v>#VALUE!</v>
      </c>
      <c r="AQ17" s="77" t="e">
        <f>IF(AQ14&lt;='記載様式（入院患者）'!$CC$3,AQ15+AQ16,"")</f>
        <v>#VALUE!</v>
      </c>
      <c r="AR17" s="77" t="e">
        <f>IF(AR14&lt;='記載様式（入院患者）'!$CC$3,AR15+AR16,"")</f>
        <v>#VALUE!</v>
      </c>
      <c r="AS17" s="77" t="e">
        <f>IF(AS14&lt;='記載様式（入院患者）'!$CC$3,AS15+AS16,"")</f>
        <v>#VALUE!</v>
      </c>
      <c r="AT17" s="77" t="e">
        <f>IF(AT14&lt;='記載様式（入院患者）'!$CC$3,AT15+AT16,"")</f>
        <v>#VALUE!</v>
      </c>
      <c r="AU17" s="77" t="e">
        <f>IF(AU14&lt;='記載様式（入院患者）'!$CC$3,AU15+AU16,"")</f>
        <v>#VALUE!</v>
      </c>
      <c r="AV17" s="77" t="e">
        <f>IF(AV14&lt;='記載様式（入院患者）'!$CC$3,AV15+AV16,"")</f>
        <v>#VALUE!</v>
      </c>
      <c r="AW17" s="77" t="e">
        <f>IF(AW14&lt;='記載様式（入院患者）'!$CC$3,AW15+AW16,"")</f>
        <v>#VALUE!</v>
      </c>
      <c r="AX17" s="77" t="e">
        <f>IF(AX14&lt;='記載様式（入院患者）'!$CC$3,AX15+AX16,"")</f>
        <v>#VALUE!</v>
      </c>
      <c r="AY17" s="77" t="e">
        <f>IF(AY14&lt;='記載様式（入院患者）'!$CC$3,AY15+AY16,"")</f>
        <v>#VALUE!</v>
      </c>
      <c r="AZ17" s="77" t="e">
        <f>IF(AZ14&lt;='記載様式（入院患者）'!$CC$3,AZ15+AZ16,"")</f>
        <v>#VALUE!</v>
      </c>
      <c r="BA17" s="77" t="e">
        <f>IF(BA14&lt;='記載様式（入院患者）'!$CC$3,BA15+BA16,"")</f>
        <v>#VALUE!</v>
      </c>
      <c r="BB17" s="77" t="e">
        <f>IF(BB14&lt;='記載様式（入院患者）'!$CC$3,BB15+BB16,"")</f>
        <v>#VALUE!</v>
      </c>
      <c r="BC17" s="77" t="e">
        <f>IF(BC14&lt;='記載様式（入院患者）'!$CC$3,BC15+BC16,"")</f>
        <v>#VALUE!</v>
      </c>
      <c r="BD17" s="77" t="e">
        <f>IF(BD14&lt;='記載様式（入院患者）'!$CC$3,BD15+BD16,"")</f>
        <v>#VALUE!</v>
      </c>
      <c r="BE17" s="77" t="e">
        <f>IF(BE14&lt;='記載様式（入院患者）'!$CC$3,BE15+BE16,"")</f>
        <v>#VALUE!</v>
      </c>
      <c r="BF17" s="77" t="e">
        <f>IF(BF14&lt;='記載様式（入院患者）'!$CC$3,BF15+BF16,"")</f>
        <v>#VALUE!</v>
      </c>
      <c r="BG17" s="77" t="e">
        <f>IF(BG14&lt;='記載様式（入院患者）'!$CC$3,BG15+BG16,"")</f>
        <v>#VALUE!</v>
      </c>
      <c r="BH17" s="77" t="e">
        <f>IF(BH14&lt;='記載様式（入院患者）'!$CC$3,BH15+BH16,"")</f>
        <v>#VALUE!</v>
      </c>
      <c r="BI17" s="77" t="e">
        <f>IF(BI14&lt;='記載様式（入院患者）'!$CC$3,BI15+BI16,"")</f>
        <v>#VALUE!</v>
      </c>
      <c r="BJ17" s="78" t="e">
        <f>IF(BJ14&lt;='記載様式（入院患者）'!$CC$3,BJ15+BJ16,"")</f>
        <v>#VALUE!</v>
      </c>
      <c r="BK17" s="19"/>
    </row>
    <row r="28" spans="1:63" x14ac:dyDescent="0.1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3.5" x14ac:dyDescent="0.15"/>
  <cols>
    <col min="1" max="1" width="39.25" bestFit="1" customWidth="1"/>
  </cols>
  <sheetData>
    <row r="1" spans="1:1" x14ac:dyDescent="0.15">
      <c r="A1" t="s">
        <v>75</v>
      </c>
    </row>
    <row r="2" spans="1:1" x14ac:dyDescent="0.15">
      <c r="A2" t="s">
        <v>26</v>
      </c>
    </row>
    <row r="3" spans="1:1" x14ac:dyDescent="0.15">
      <c r="A3" t="s">
        <v>25</v>
      </c>
    </row>
    <row r="4" spans="1:1" x14ac:dyDescent="0.15">
      <c r="A4" t="s">
        <v>27</v>
      </c>
    </row>
    <row r="5" spans="1:1" x14ac:dyDescent="0.15">
      <c r="A5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記載様式（入院患者）</vt:lpstr>
      <vt:lpstr>記載様式（職員）</vt:lpstr>
      <vt:lpstr>入力方法（入院患者）</vt:lpstr>
      <vt:lpstr>入力方法（職員）</vt:lpstr>
      <vt:lpstr>保健所使用</vt:lpstr>
      <vt:lpstr>Sheet2</vt:lpstr>
      <vt:lpstr>'記載様式（職員）'!Print_Area</vt:lpstr>
      <vt:lpstr>'記載様式（入院患者）'!Print_Area</vt:lpstr>
      <vt:lpstr>'入力方法（職員）'!Print_Area</vt:lpstr>
      <vt:lpstr>'入力方法（入院患者）'!Print_Area</vt:lpstr>
      <vt:lpstr>保健所使用!Print_Area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